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\Share\ОДН\ОДН Для сайта расчеты корректировок за год\Запароленные для сайта\2025\"/>
    </mc:Choice>
  </mc:AlternateContent>
  <bookViews>
    <workbookView xWindow="28680" yWindow="-120" windowWidth="29040" windowHeight="15840" tabRatio="876" activeTab="1"/>
  </bookViews>
  <sheets>
    <sheet name="20" sheetId="15" r:id="rId1"/>
    <sheet name=" 3" sheetId="14" r:id="rId2"/>
    <sheet name="4" sheetId="18" r:id="rId3"/>
    <sheet name="14В" sheetId="3" r:id="rId4"/>
    <sheet name="16 Б" sheetId="5" r:id="rId5"/>
    <sheet name="16 Г" sheetId="6" r:id="rId6"/>
    <sheet name="14Б" sheetId="1" r:id="rId7"/>
    <sheet name="18 Г" sheetId="8" r:id="rId8"/>
    <sheet name="31" sheetId="9" r:id="rId9"/>
    <sheet name="42 Г" sheetId="17" r:id="rId10"/>
    <sheet name="42 В" sheetId="16" r:id="rId11"/>
    <sheet name="29" sheetId="20" r:id="rId12"/>
    <sheet name="16" sheetId="4" r:id="rId13"/>
    <sheet name="18 В" sheetId="7" r:id="rId14"/>
    <sheet name="33 А" sheetId="10" r:id="rId15"/>
    <sheet name="33 Б" sheetId="11" r:id="rId16"/>
    <sheet name="35" sheetId="12" r:id="rId17"/>
    <sheet name=" 2" sheetId="13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14" l="1"/>
  <c r="S11" i="20"/>
  <c r="S18" i="20" s="1"/>
  <c r="S95" i="4" l="1"/>
  <c r="S94" i="4"/>
  <c r="R95" i="4"/>
  <c r="R94" i="4"/>
  <c r="S95" i="17"/>
  <c r="S94" i="17"/>
  <c r="R95" i="17"/>
  <c r="R94" i="17"/>
  <c r="L53" i="3"/>
  <c r="L54" i="18"/>
  <c r="L54" i="14"/>
  <c r="L94" i="15"/>
  <c r="S54" i="3"/>
  <c r="S57" i="3" s="1"/>
  <c r="S53" i="3"/>
  <c r="R54" i="3"/>
  <c r="R57" i="3" s="1"/>
  <c r="R53" i="3"/>
  <c r="S55" i="14"/>
  <c r="S54" i="14"/>
  <c r="S57" i="14" s="1"/>
  <c r="R55" i="14"/>
  <c r="R57" i="14" s="1"/>
  <c r="S95" i="15"/>
  <c r="S94" i="15"/>
  <c r="R95" i="15"/>
  <c r="R94" i="15"/>
  <c r="S57" i="15"/>
  <c r="S57" i="17"/>
  <c r="R57" i="15"/>
  <c r="R57" i="17"/>
  <c r="S20" i="14"/>
  <c r="S20" i="3"/>
  <c r="S97" i="4" l="1"/>
  <c r="S97" i="17"/>
  <c r="R97" i="17"/>
  <c r="S56" i="3"/>
  <c r="R56" i="3"/>
  <c r="S97" i="15"/>
  <c r="S97" i="14"/>
  <c r="S97" i="3"/>
  <c r="S95" i="14"/>
  <c r="S95" i="18"/>
  <c r="S95" i="3"/>
  <c r="S94" i="14"/>
  <c r="S94" i="18"/>
  <c r="S97" i="18" s="1"/>
  <c r="S94" i="3"/>
  <c r="S92" i="4"/>
  <c r="Q92" i="4"/>
  <c r="H92" i="4"/>
  <c r="G92" i="4"/>
  <c r="F92" i="4"/>
  <c r="H16" i="20"/>
  <c r="G16" i="20"/>
  <c r="H53" i="16"/>
  <c r="G53" i="16"/>
  <c r="H92" i="17"/>
  <c r="G92" i="17"/>
  <c r="F92" i="17"/>
  <c r="H53" i="9"/>
  <c r="G53" i="9"/>
  <c r="H54" i="8"/>
  <c r="G54" i="8"/>
  <c r="H53" i="6"/>
  <c r="G53" i="6"/>
  <c r="H51" i="5"/>
  <c r="G51" i="5"/>
  <c r="S52" i="3"/>
  <c r="Q52" i="3"/>
  <c r="H52" i="3"/>
  <c r="G52" i="3"/>
  <c r="H53" i="18"/>
  <c r="G53" i="18"/>
  <c r="S53" i="14"/>
  <c r="R53" i="14"/>
  <c r="H53" i="14"/>
  <c r="G53" i="14"/>
  <c r="H92" i="15"/>
  <c r="G92" i="15"/>
  <c r="F92" i="15"/>
  <c r="S90" i="4"/>
  <c r="H90" i="4"/>
  <c r="G90" i="4"/>
  <c r="F90" i="4"/>
  <c r="H15" i="20"/>
  <c r="G15" i="20"/>
  <c r="H52" i="16"/>
  <c r="G52" i="16"/>
  <c r="S90" i="17"/>
  <c r="Q90" i="17"/>
  <c r="H90" i="17"/>
  <c r="G90" i="17"/>
  <c r="F90" i="17"/>
  <c r="H52" i="9"/>
  <c r="G52" i="9"/>
  <c r="H53" i="8"/>
  <c r="G53" i="8"/>
  <c r="G52" i="6"/>
  <c r="H52" i="6"/>
  <c r="H50" i="5"/>
  <c r="G50" i="5"/>
  <c r="S51" i="3"/>
  <c r="H51" i="3"/>
  <c r="G51" i="3"/>
  <c r="H52" i="18"/>
  <c r="G52" i="18"/>
  <c r="S52" i="14"/>
  <c r="R52" i="14"/>
  <c r="H52" i="14"/>
  <c r="G52" i="14"/>
  <c r="S90" i="15"/>
  <c r="R90" i="15"/>
  <c r="H90" i="15"/>
  <c r="G90" i="15"/>
  <c r="F90" i="15"/>
  <c r="R88" i="4"/>
  <c r="H88" i="4"/>
  <c r="G88" i="4"/>
  <c r="F88" i="4"/>
  <c r="H14" i="20"/>
  <c r="G14" i="20"/>
  <c r="H51" i="16"/>
  <c r="G51" i="16"/>
  <c r="L88" i="17"/>
  <c r="J88" i="17"/>
  <c r="H88" i="17"/>
  <c r="G88" i="17"/>
  <c r="F88" i="17"/>
  <c r="H51" i="9"/>
  <c r="G51" i="9"/>
  <c r="H52" i="8"/>
  <c r="G52" i="8"/>
  <c r="H51" i="6"/>
  <c r="G51" i="6"/>
  <c r="H49" i="5"/>
  <c r="G49" i="5"/>
  <c r="S50" i="3"/>
  <c r="Q50" i="3"/>
  <c r="H50" i="3"/>
  <c r="G50" i="3"/>
  <c r="H51" i="18"/>
  <c r="G51" i="18"/>
  <c r="H51" i="14"/>
  <c r="G51" i="14"/>
  <c r="R88" i="15"/>
  <c r="H88" i="15"/>
  <c r="G88" i="15"/>
  <c r="F88" i="15"/>
  <c r="H86" i="4"/>
  <c r="G86" i="4"/>
  <c r="F86" i="4"/>
  <c r="H13" i="20"/>
  <c r="G13" i="20"/>
  <c r="H50" i="16"/>
  <c r="G50" i="16"/>
  <c r="S86" i="17"/>
  <c r="J86" i="17"/>
  <c r="G86" i="17"/>
  <c r="H86" i="17"/>
  <c r="F86" i="17"/>
  <c r="H50" i="9"/>
  <c r="G50" i="9"/>
  <c r="H51" i="8"/>
  <c r="G51" i="8"/>
  <c r="H50" i="6"/>
  <c r="G50" i="6"/>
  <c r="H48" i="5"/>
  <c r="G48" i="5"/>
  <c r="S49" i="3"/>
  <c r="G49" i="3"/>
  <c r="H49" i="3"/>
  <c r="H50" i="18"/>
  <c r="G50" i="18"/>
  <c r="S50" i="14"/>
  <c r="H50" i="14"/>
  <c r="G50" i="14"/>
  <c r="S86" i="15"/>
  <c r="H86" i="15"/>
  <c r="G86" i="15"/>
  <c r="F86" i="15"/>
  <c r="L84" i="4"/>
  <c r="J84" i="4"/>
  <c r="H84" i="4"/>
  <c r="G84" i="4"/>
  <c r="F84" i="4"/>
  <c r="H12" i="20"/>
  <c r="G12" i="20"/>
  <c r="H49" i="16"/>
  <c r="G49" i="16"/>
  <c r="Q84" i="17"/>
  <c r="S84" i="17" s="1"/>
  <c r="J84" i="17"/>
  <c r="H84" i="17"/>
  <c r="G84" i="17"/>
  <c r="F84" i="17"/>
  <c r="H49" i="9"/>
  <c r="G49" i="9"/>
  <c r="H50" i="8"/>
  <c r="G50" i="8"/>
  <c r="H49" i="6"/>
  <c r="G49" i="6"/>
  <c r="H47" i="5"/>
  <c r="G47" i="5"/>
  <c r="S46" i="3"/>
  <c r="S48" i="3"/>
  <c r="L48" i="3"/>
  <c r="J48" i="3"/>
  <c r="H48" i="3"/>
  <c r="G48" i="3"/>
  <c r="H49" i="18"/>
  <c r="G49" i="18"/>
  <c r="S49" i="14"/>
  <c r="H49" i="14"/>
  <c r="G49" i="14"/>
  <c r="S84" i="15"/>
  <c r="H84" i="15"/>
  <c r="G84" i="15"/>
  <c r="F84" i="15"/>
  <c r="H82" i="4"/>
  <c r="G82" i="4"/>
  <c r="F82" i="4"/>
  <c r="H11" i="20"/>
  <c r="G11" i="20"/>
  <c r="F11" i="20"/>
  <c r="H48" i="16"/>
  <c r="G48" i="16"/>
  <c r="H82" i="17"/>
  <c r="G82" i="17"/>
  <c r="F82" i="17"/>
  <c r="H48" i="9"/>
  <c r="G48" i="9"/>
  <c r="H49" i="8"/>
  <c r="G49" i="8"/>
  <c r="H48" i="6"/>
  <c r="G48" i="6"/>
  <c r="H46" i="5"/>
  <c r="G46" i="5"/>
  <c r="J47" i="3"/>
  <c r="H47" i="3"/>
  <c r="G47" i="3"/>
  <c r="H48" i="18"/>
  <c r="G48" i="18"/>
  <c r="S48" i="14"/>
  <c r="H48" i="14"/>
  <c r="G48" i="14"/>
  <c r="F48" i="14"/>
  <c r="H82" i="15"/>
  <c r="G82" i="15"/>
  <c r="F82" i="15"/>
  <c r="H80" i="4"/>
  <c r="G80" i="4"/>
  <c r="F80" i="4"/>
  <c r="H10" i="20"/>
  <c r="G10" i="20"/>
  <c r="H47" i="16"/>
  <c r="G47" i="16"/>
  <c r="S80" i="17"/>
  <c r="H80" i="17"/>
  <c r="G80" i="17"/>
  <c r="F80" i="17"/>
  <c r="H47" i="9"/>
  <c r="G47" i="9"/>
  <c r="H48" i="8"/>
  <c r="G48" i="8"/>
  <c r="H47" i="6"/>
  <c r="G47" i="6"/>
  <c r="H45" i="5"/>
  <c r="G45" i="5"/>
  <c r="L46" i="3"/>
  <c r="J46" i="3"/>
  <c r="H46" i="3"/>
  <c r="G46" i="3"/>
  <c r="H47" i="18"/>
  <c r="G47" i="18"/>
  <c r="S47" i="14"/>
  <c r="L47" i="14"/>
  <c r="J47" i="14"/>
  <c r="H47" i="14"/>
  <c r="G47" i="14"/>
  <c r="S80" i="15"/>
  <c r="R80" i="15"/>
  <c r="J80" i="15"/>
  <c r="L80" i="15"/>
  <c r="H80" i="15"/>
  <c r="G80" i="15"/>
  <c r="F80" i="15"/>
  <c r="S78" i="4"/>
  <c r="S76" i="4"/>
  <c r="S74" i="4"/>
  <c r="H78" i="4"/>
  <c r="G78" i="4"/>
  <c r="F78" i="4"/>
  <c r="H9" i="20"/>
  <c r="G9" i="20"/>
  <c r="F9" i="20"/>
  <c r="H46" i="16"/>
  <c r="G46" i="16"/>
  <c r="S78" i="17"/>
  <c r="S76" i="17"/>
  <c r="H78" i="17"/>
  <c r="G78" i="17"/>
  <c r="F78" i="17"/>
  <c r="H46" i="9"/>
  <c r="G46" i="9"/>
  <c r="H47" i="8"/>
  <c r="G47" i="8"/>
  <c r="H46" i="6"/>
  <c r="G46" i="6"/>
  <c r="H44" i="5"/>
  <c r="G44" i="5"/>
  <c r="S45" i="3"/>
  <c r="H45" i="3"/>
  <c r="G45" i="3"/>
  <c r="H46" i="18"/>
  <c r="G46" i="18"/>
  <c r="S46" i="14"/>
  <c r="S45" i="14"/>
  <c r="Q46" i="14"/>
  <c r="H46" i="14"/>
  <c r="G46" i="14"/>
  <c r="F46" i="14"/>
  <c r="S78" i="15"/>
  <c r="H78" i="15"/>
  <c r="G78" i="15"/>
  <c r="F78" i="15"/>
  <c r="J76" i="4"/>
  <c r="L76" i="4"/>
  <c r="H76" i="4"/>
  <c r="G76" i="4"/>
  <c r="F76" i="4"/>
  <c r="H8" i="20"/>
  <c r="G8" i="20"/>
  <c r="H45" i="16"/>
  <c r="G45" i="16"/>
  <c r="H76" i="17"/>
  <c r="G76" i="17"/>
  <c r="F76" i="17"/>
  <c r="H45" i="9"/>
  <c r="G45" i="9"/>
  <c r="H46" i="8"/>
  <c r="G46" i="8"/>
  <c r="H45" i="6"/>
  <c r="G45" i="6"/>
  <c r="H43" i="5"/>
  <c r="G43" i="5"/>
  <c r="S44" i="3"/>
  <c r="H44" i="3"/>
  <c r="G44" i="3"/>
  <c r="H45" i="18"/>
  <c r="G45" i="18"/>
  <c r="H45" i="14"/>
  <c r="G45" i="14"/>
  <c r="H76" i="15"/>
  <c r="G76" i="15"/>
  <c r="F76" i="15"/>
  <c r="H74" i="4" l="1"/>
  <c r="I74" i="4" s="1"/>
  <c r="J74" i="4" s="1"/>
  <c r="L74" i="4" s="1"/>
  <c r="Q74" i="4" s="1"/>
  <c r="G74" i="4"/>
  <c r="F74" i="4"/>
  <c r="H7" i="20"/>
  <c r="G7" i="20"/>
  <c r="H44" i="16"/>
  <c r="G44" i="16"/>
  <c r="H74" i="17"/>
  <c r="G74" i="17"/>
  <c r="F74" i="17"/>
  <c r="H44" i="9"/>
  <c r="G44" i="9"/>
  <c r="H45" i="8"/>
  <c r="G45" i="8"/>
  <c r="I45" i="8" s="1"/>
  <c r="J45" i="8" s="1"/>
  <c r="L45" i="8" s="1"/>
  <c r="Q45" i="8" s="1"/>
  <c r="S45" i="8" s="1"/>
  <c r="H44" i="6"/>
  <c r="G44" i="6"/>
  <c r="H42" i="5"/>
  <c r="I42" i="5" s="1"/>
  <c r="G42" i="5"/>
  <c r="H43" i="3"/>
  <c r="G43" i="3"/>
  <c r="H44" i="18"/>
  <c r="G44" i="18"/>
  <c r="S44" i="14"/>
  <c r="H44" i="14"/>
  <c r="G44" i="14"/>
  <c r="S74" i="15"/>
  <c r="H74" i="15"/>
  <c r="G74" i="15"/>
  <c r="F74" i="15"/>
  <c r="R72" i="4"/>
  <c r="H72" i="4"/>
  <c r="G72" i="4"/>
  <c r="F72" i="4"/>
  <c r="R43" i="16"/>
  <c r="S43" i="16" s="1"/>
  <c r="H43" i="16"/>
  <c r="G43" i="16"/>
  <c r="S72" i="17"/>
  <c r="R72" i="17"/>
  <c r="G72" i="17"/>
  <c r="H72" i="17"/>
  <c r="F72" i="17"/>
  <c r="H43" i="9"/>
  <c r="G43" i="9"/>
  <c r="H44" i="8"/>
  <c r="G44" i="8"/>
  <c r="H43" i="6"/>
  <c r="G43" i="6"/>
  <c r="H41" i="5"/>
  <c r="G41" i="5"/>
  <c r="H42" i="3"/>
  <c r="G42" i="3"/>
  <c r="H43" i="18"/>
  <c r="I43" i="18" s="1"/>
  <c r="J43" i="18" s="1"/>
  <c r="G43" i="18"/>
  <c r="F43" i="18"/>
  <c r="S43" i="14"/>
  <c r="L43" i="14"/>
  <c r="H43" i="14"/>
  <c r="G43" i="14"/>
  <c r="S72" i="15"/>
  <c r="L72" i="15"/>
  <c r="R72" i="15"/>
  <c r="H72" i="15"/>
  <c r="G72" i="15"/>
  <c r="F72" i="15"/>
  <c r="I72" i="15" s="1"/>
  <c r="H70" i="4"/>
  <c r="G70" i="4"/>
  <c r="F70" i="4"/>
  <c r="H42" i="16"/>
  <c r="G42" i="16"/>
  <c r="H70" i="17"/>
  <c r="G70" i="17"/>
  <c r="F70" i="17"/>
  <c r="Q42" i="9"/>
  <c r="H42" i="9"/>
  <c r="G42" i="9"/>
  <c r="H43" i="8"/>
  <c r="G43" i="8"/>
  <c r="Q42" i="6"/>
  <c r="J42" i="6"/>
  <c r="H42" i="6"/>
  <c r="G42" i="6"/>
  <c r="H40" i="5"/>
  <c r="G40" i="5"/>
  <c r="H41" i="3"/>
  <c r="G41" i="3"/>
  <c r="H42" i="18"/>
  <c r="G42" i="18"/>
  <c r="I42" i="18" s="1"/>
  <c r="J42" i="14"/>
  <c r="S42" i="14"/>
  <c r="H42" i="14"/>
  <c r="G42" i="14"/>
  <c r="H70" i="15"/>
  <c r="G70" i="15"/>
  <c r="F70" i="15"/>
  <c r="P53" i="18"/>
  <c r="P52" i="18"/>
  <c r="P51" i="18"/>
  <c r="P50" i="18"/>
  <c r="P49" i="18"/>
  <c r="P48" i="18"/>
  <c r="P47" i="18"/>
  <c r="P46" i="18"/>
  <c r="P45" i="18"/>
  <c r="P44" i="18"/>
  <c r="P43" i="18"/>
  <c r="P42" i="18"/>
  <c r="P92" i="17"/>
  <c r="P90" i="17"/>
  <c r="P88" i="17"/>
  <c r="P84" i="17"/>
  <c r="P86" i="17"/>
  <c r="P82" i="17"/>
  <c r="P80" i="17"/>
  <c r="P78" i="17"/>
  <c r="P76" i="17"/>
  <c r="P74" i="17"/>
  <c r="P72" i="17"/>
  <c r="P70" i="17"/>
  <c r="P53" i="16"/>
  <c r="P52" i="16"/>
  <c r="P51" i="16"/>
  <c r="P50" i="16"/>
  <c r="P49" i="16"/>
  <c r="P48" i="16"/>
  <c r="P47" i="16"/>
  <c r="P46" i="16"/>
  <c r="P45" i="16"/>
  <c r="P44" i="16"/>
  <c r="P43" i="16"/>
  <c r="P42" i="16"/>
  <c r="P92" i="15"/>
  <c r="P90" i="15"/>
  <c r="P88" i="15"/>
  <c r="P86" i="15"/>
  <c r="P84" i="15"/>
  <c r="P82" i="15"/>
  <c r="P80" i="15"/>
  <c r="P78" i="15"/>
  <c r="P76" i="15"/>
  <c r="P74" i="15"/>
  <c r="P72" i="15"/>
  <c r="P70" i="15"/>
  <c r="S51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53" i="9"/>
  <c r="P52" i="9"/>
  <c r="P51" i="9"/>
  <c r="P50" i="9"/>
  <c r="P49" i="9"/>
  <c r="P48" i="9"/>
  <c r="P47" i="9"/>
  <c r="P46" i="9"/>
  <c r="P45" i="9"/>
  <c r="P44" i="9"/>
  <c r="P43" i="9"/>
  <c r="P42" i="9"/>
  <c r="P54" i="8"/>
  <c r="P53" i="8"/>
  <c r="P52" i="8"/>
  <c r="P51" i="8"/>
  <c r="P50" i="8"/>
  <c r="P49" i="8"/>
  <c r="P48" i="8"/>
  <c r="P47" i="8"/>
  <c r="P46" i="8"/>
  <c r="P45" i="8"/>
  <c r="P44" i="8"/>
  <c r="P43" i="8"/>
  <c r="S51" i="6"/>
  <c r="P53" i="6"/>
  <c r="P52" i="6"/>
  <c r="P51" i="6"/>
  <c r="P50" i="6"/>
  <c r="P49" i="6"/>
  <c r="P48" i="6"/>
  <c r="P47" i="6"/>
  <c r="P46" i="6"/>
  <c r="P45" i="6"/>
  <c r="P44" i="6"/>
  <c r="P43" i="6"/>
  <c r="P42" i="6"/>
  <c r="S44" i="5"/>
  <c r="P46" i="5"/>
  <c r="P51" i="5"/>
  <c r="P50" i="5"/>
  <c r="P49" i="5"/>
  <c r="P48" i="5"/>
  <c r="P47" i="5"/>
  <c r="P45" i="5"/>
  <c r="P44" i="5"/>
  <c r="P43" i="5"/>
  <c r="P42" i="5"/>
  <c r="P41" i="5"/>
  <c r="P40" i="5"/>
  <c r="P70" i="4"/>
  <c r="S80" i="4"/>
  <c r="S72" i="4"/>
  <c r="P92" i="4"/>
  <c r="P90" i="4"/>
  <c r="P88" i="4"/>
  <c r="P86" i="4"/>
  <c r="P84" i="4"/>
  <c r="P82" i="4"/>
  <c r="P80" i="4"/>
  <c r="P78" i="4"/>
  <c r="P76" i="4"/>
  <c r="P74" i="4"/>
  <c r="P72" i="4"/>
  <c r="P41" i="3"/>
  <c r="P52" i="3"/>
  <c r="P51" i="3"/>
  <c r="P50" i="3"/>
  <c r="P49" i="3"/>
  <c r="P48" i="3"/>
  <c r="P47" i="3"/>
  <c r="P46" i="3"/>
  <c r="P45" i="3"/>
  <c r="P44" i="3"/>
  <c r="P43" i="3"/>
  <c r="P42" i="3"/>
  <c r="P13" i="20"/>
  <c r="P14" i="20"/>
  <c r="P16" i="20"/>
  <c r="P15" i="20"/>
  <c r="P12" i="20"/>
  <c r="P11" i="20"/>
  <c r="P10" i="20"/>
  <c r="P9" i="20"/>
  <c r="P8" i="20"/>
  <c r="P7" i="20"/>
  <c r="I7" i="20"/>
  <c r="J7" i="20" s="1"/>
  <c r="L7" i="20" s="1"/>
  <c r="Q7" i="20" s="1"/>
  <c r="I8" i="20"/>
  <c r="J8" i="20" s="1"/>
  <c r="L8" i="20" s="1"/>
  <c r="R8" i="20" s="1"/>
  <c r="I9" i="20"/>
  <c r="J9" i="20" s="1"/>
  <c r="L9" i="20" s="1"/>
  <c r="Q9" i="20" s="1"/>
  <c r="S9" i="20" s="1"/>
  <c r="I10" i="20"/>
  <c r="J10" i="20" s="1"/>
  <c r="L10" i="20" s="1"/>
  <c r="I11" i="20"/>
  <c r="J11" i="20" s="1"/>
  <c r="L11" i="20" s="1"/>
  <c r="I12" i="20"/>
  <c r="J12" i="20" s="1"/>
  <c r="L12" i="20" s="1"/>
  <c r="I16" i="20"/>
  <c r="J16" i="20" s="1"/>
  <c r="L16" i="20" s="1"/>
  <c r="Q16" i="20" s="1"/>
  <c r="S16" i="20" s="1"/>
  <c r="I15" i="20"/>
  <c r="J15" i="20" s="1"/>
  <c r="L15" i="20" s="1"/>
  <c r="R15" i="20" s="1"/>
  <c r="S15" i="20" s="1"/>
  <c r="I14" i="20"/>
  <c r="J14" i="20" s="1"/>
  <c r="L14" i="20" s="1"/>
  <c r="Q14" i="20" s="1"/>
  <c r="S14" i="20" s="1"/>
  <c r="O17" i="20"/>
  <c r="I13" i="20"/>
  <c r="J13" i="20" s="1"/>
  <c r="L13" i="20" s="1"/>
  <c r="R13" i="20" s="1"/>
  <c r="S13" i="20" s="1"/>
  <c r="O54" i="18"/>
  <c r="I53" i="18"/>
  <c r="I52" i="18"/>
  <c r="I51" i="18"/>
  <c r="I50" i="18"/>
  <c r="I49" i="18"/>
  <c r="I48" i="18"/>
  <c r="I47" i="18"/>
  <c r="I46" i="18"/>
  <c r="I45" i="18"/>
  <c r="I44" i="18"/>
  <c r="J44" i="18" s="1"/>
  <c r="L44" i="18" s="1"/>
  <c r="Q44" i="18" s="1"/>
  <c r="S44" i="18" s="1"/>
  <c r="O94" i="17"/>
  <c r="I92" i="17"/>
  <c r="J92" i="17" s="1"/>
  <c r="L92" i="17" s="1"/>
  <c r="R92" i="17" s="1"/>
  <c r="S92" i="17" s="1"/>
  <c r="I90" i="17"/>
  <c r="J90" i="17" s="1"/>
  <c r="L90" i="17" s="1"/>
  <c r="I88" i="17"/>
  <c r="R88" i="17" s="1"/>
  <c r="S88" i="17" s="1"/>
  <c r="I86" i="17"/>
  <c r="L86" i="17" s="1"/>
  <c r="Q86" i="17" s="1"/>
  <c r="I84" i="17"/>
  <c r="L84" i="17" s="1"/>
  <c r="I82" i="17"/>
  <c r="J82" i="17" s="1"/>
  <c r="L82" i="17" s="1"/>
  <c r="Q82" i="17" s="1"/>
  <c r="S82" i="17" s="1"/>
  <c r="I80" i="17"/>
  <c r="J80" i="17" s="1"/>
  <c r="L80" i="17" s="1"/>
  <c r="R80" i="17" s="1"/>
  <c r="I78" i="17"/>
  <c r="J78" i="17" s="1"/>
  <c r="L78" i="17" s="1"/>
  <c r="Q78" i="17" s="1"/>
  <c r="I76" i="17"/>
  <c r="J76" i="17" s="1"/>
  <c r="L76" i="17" s="1"/>
  <c r="Q76" i="17" s="1"/>
  <c r="I74" i="17"/>
  <c r="J74" i="17" s="1"/>
  <c r="L74" i="17" s="1"/>
  <c r="R74" i="17" s="1"/>
  <c r="S74" i="17" s="1"/>
  <c r="I72" i="17"/>
  <c r="J72" i="17" s="1"/>
  <c r="L72" i="17" s="1"/>
  <c r="I70" i="17"/>
  <c r="J70" i="17" s="1"/>
  <c r="L70" i="17" s="1"/>
  <c r="O54" i="16"/>
  <c r="I53" i="16"/>
  <c r="J53" i="16" s="1"/>
  <c r="L53" i="16" s="1"/>
  <c r="Q53" i="16" s="1"/>
  <c r="S53" i="16" s="1"/>
  <c r="I52" i="16"/>
  <c r="J52" i="16" s="1"/>
  <c r="L52" i="16" s="1"/>
  <c r="R52" i="16" s="1"/>
  <c r="S52" i="16" s="1"/>
  <c r="I51" i="16"/>
  <c r="J51" i="16" s="1"/>
  <c r="L51" i="16" s="1"/>
  <c r="R51" i="16" s="1"/>
  <c r="S51" i="16" s="1"/>
  <c r="I50" i="16"/>
  <c r="J50" i="16" s="1"/>
  <c r="L50" i="16" s="1"/>
  <c r="R50" i="16" s="1"/>
  <c r="S50" i="16" s="1"/>
  <c r="I49" i="16"/>
  <c r="J49" i="16" s="1"/>
  <c r="L49" i="16" s="1"/>
  <c r="Q49" i="16" s="1"/>
  <c r="S49" i="16" s="1"/>
  <c r="I48" i="16"/>
  <c r="J48" i="16" s="1"/>
  <c r="L48" i="16" s="1"/>
  <c r="Q48" i="16" s="1"/>
  <c r="I47" i="16"/>
  <c r="J47" i="16" s="1"/>
  <c r="L47" i="16" s="1"/>
  <c r="Q47" i="16" s="1"/>
  <c r="S47" i="16" s="1"/>
  <c r="I46" i="16"/>
  <c r="J46" i="16" s="1"/>
  <c r="L46" i="16" s="1"/>
  <c r="R46" i="16" s="1"/>
  <c r="S46" i="16" s="1"/>
  <c r="I45" i="16"/>
  <c r="J45" i="16" s="1"/>
  <c r="L45" i="16" s="1"/>
  <c r="Q45" i="16" s="1"/>
  <c r="S45" i="16" s="1"/>
  <c r="I43" i="16"/>
  <c r="J43" i="16" s="1"/>
  <c r="L43" i="16" s="1"/>
  <c r="I42" i="16"/>
  <c r="J42" i="16" s="1"/>
  <c r="L42" i="16" s="1"/>
  <c r="Q42" i="16" s="1"/>
  <c r="O94" i="15"/>
  <c r="I92" i="15"/>
  <c r="J92" i="15" s="1"/>
  <c r="L92" i="15" s="1"/>
  <c r="R92" i="15" s="1"/>
  <c r="S92" i="15" s="1"/>
  <c r="I90" i="15"/>
  <c r="J90" i="15" s="1"/>
  <c r="L90" i="15" s="1"/>
  <c r="I88" i="15"/>
  <c r="J88" i="15" s="1"/>
  <c r="L88" i="15" s="1"/>
  <c r="S88" i="15" s="1"/>
  <c r="I86" i="15"/>
  <c r="J86" i="15" s="1"/>
  <c r="L86" i="15" s="1"/>
  <c r="Q86" i="15" s="1"/>
  <c r="I84" i="15"/>
  <c r="J84" i="15" s="1"/>
  <c r="L84" i="15" s="1"/>
  <c r="Q84" i="15" s="1"/>
  <c r="I82" i="15"/>
  <c r="J82" i="15" s="1"/>
  <c r="L82" i="15" s="1"/>
  <c r="R82" i="15" s="1"/>
  <c r="S82" i="15" s="1"/>
  <c r="I80" i="15"/>
  <c r="I78" i="15"/>
  <c r="J78" i="15" s="1"/>
  <c r="L78" i="15" s="1"/>
  <c r="Q78" i="15" s="1"/>
  <c r="I76" i="15"/>
  <c r="I74" i="15"/>
  <c r="J74" i="15" s="1"/>
  <c r="L74" i="15" s="1"/>
  <c r="Q74" i="15" s="1"/>
  <c r="I70" i="15"/>
  <c r="L70" i="15" s="1"/>
  <c r="O54" i="14"/>
  <c r="I53" i="14"/>
  <c r="J53" i="14" s="1"/>
  <c r="L53" i="14" s="1"/>
  <c r="I52" i="14"/>
  <c r="J52" i="14" s="1"/>
  <c r="L52" i="14" s="1"/>
  <c r="I51" i="14"/>
  <c r="J51" i="14" s="1"/>
  <c r="L51" i="14" s="1"/>
  <c r="R51" i="14" s="1"/>
  <c r="I50" i="14"/>
  <c r="J50" i="14" s="1"/>
  <c r="L50" i="14" s="1"/>
  <c r="R50" i="14" s="1"/>
  <c r="I49" i="14"/>
  <c r="J49" i="14" s="1"/>
  <c r="L49" i="14" s="1"/>
  <c r="R49" i="14" s="1"/>
  <c r="I48" i="14"/>
  <c r="J48" i="14" s="1"/>
  <c r="L48" i="14" s="1"/>
  <c r="R48" i="14" s="1"/>
  <c r="I47" i="14"/>
  <c r="Q47" i="14" s="1"/>
  <c r="I46" i="14"/>
  <c r="J46" i="14" s="1"/>
  <c r="L46" i="14" s="1"/>
  <c r="I45" i="14"/>
  <c r="J45" i="14" s="1"/>
  <c r="L45" i="14" s="1"/>
  <c r="Q45" i="14" s="1"/>
  <c r="I44" i="14"/>
  <c r="J44" i="14" s="1"/>
  <c r="L44" i="14" s="1"/>
  <c r="Q44" i="14" s="1"/>
  <c r="Q43" i="14"/>
  <c r="I43" i="14"/>
  <c r="J43" i="14" s="1"/>
  <c r="Q42" i="14"/>
  <c r="I42" i="14"/>
  <c r="O54" i="9"/>
  <c r="I53" i="9"/>
  <c r="J53" i="9" s="1"/>
  <c r="L53" i="9" s="1"/>
  <c r="R53" i="9" s="1"/>
  <c r="S53" i="9" s="1"/>
  <c r="I52" i="9"/>
  <c r="I51" i="9"/>
  <c r="I50" i="9"/>
  <c r="I49" i="9"/>
  <c r="I48" i="9"/>
  <c r="I47" i="9"/>
  <c r="I46" i="9"/>
  <c r="Q45" i="9"/>
  <c r="S45" i="9" s="1"/>
  <c r="I45" i="9"/>
  <c r="I44" i="9"/>
  <c r="I43" i="9"/>
  <c r="Q43" i="9" s="1"/>
  <c r="S43" i="9" s="1"/>
  <c r="I42" i="9"/>
  <c r="J42" i="9" s="1"/>
  <c r="O55" i="8"/>
  <c r="I54" i="8"/>
  <c r="J54" i="8" s="1"/>
  <c r="Q54" i="8" s="1"/>
  <c r="S54" i="8" s="1"/>
  <c r="I53" i="8"/>
  <c r="J53" i="8" s="1"/>
  <c r="L53" i="8" s="1"/>
  <c r="R53" i="8" s="1"/>
  <c r="S53" i="8" s="1"/>
  <c r="I52" i="8"/>
  <c r="J52" i="8" s="1"/>
  <c r="L52" i="8" s="1"/>
  <c r="R52" i="8" s="1"/>
  <c r="S52" i="8" s="1"/>
  <c r="I51" i="8"/>
  <c r="I50" i="8"/>
  <c r="I49" i="8"/>
  <c r="J49" i="8" s="1"/>
  <c r="Q49" i="8" s="1"/>
  <c r="I48" i="8"/>
  <c r="Q47" i="8"/>
  <c r="S47" i="8" s="1"/>
  <c r="I47" i="8"/>
  <c r="J47" i="8" s="1"/>
  <c r="I46" i="8"/>
  <c r="J46" i="8" s="1"/>
  <c r="L46" i="8" s="1"/>
  <c r="Q46" i="8" s="1"/>
  <c r="S46" i="8" s="1"/>
  <c r="I44" i="8"/>
  <c r="J44" i="8" s="1"/>
  <c r="I43" i="8"/>
  <c r="J43" i="8" s="1"/>
  <c r="O54" i="6"/>
  <c r="I53" i="6"/>
  <c r="J53" i="6" s="1"/>
  <c r="L53" i="6" s="1"/>
  <c r="Q53" i="6" s="1"/>
  <c r="S53" i="6" s="1"/>
  <c r="I52" i="6"/>
  <c r="J52" i="6" s="1"/>
  <c r="L52" i="6" s="1"/>
  <c r="R52" i="6" s="1"/>
  <c r="S52" i="6" s="1"/>
  <c r="I51" i="6"/>
  <c r="J51" i="6" s="1"/>
  <c r="L51" i="6" s="1"/>
  <c r="R51" i="6" s="1"/>
  <c r="I50" i="6"/>
  <c r="J50" i="6" s="1"/>
  <c r="I49" i="6"/>
  <c r="I48" i="6"/>
  <c r="J48" i="6" s="1"/>
  <c r="L48" i="6" s="1"/>
  <c r="Q48" i="6" s="1"/>
  <c r="I47" i="6"/>
  <c r="I46" i="6"/>
  <c r="J46" i="6" s="1"/>
  <c r="L46" i="6" s="1"/>
  <c r="Q46" i="6" s="1"/>
  <c r="S46" i="6" s="1"/>
  <c r="I45" i="6"/>
  <c r="J45" i="6" s="1"/>
  <c r="L45" i="6" s="1"/>
  <c r="Q45" i="6" s="1"/>
  <c r="S45" i="6" s="1"/>
  <c r="I44" i="6"/>
  <c r="J44" i="6" s="1"/>
  <c r="L44" i="6" s="1"/>
  <c r="R44" i="6" s="1"/>
  <c r="S44" i="6" s="1"/>
  <c r="I43" i="6"/>
  <c r="J43" i="6" s="1"/>
  <c r="I42" i="6"/>
  <c r="O52" i="5"/>
  <c r="I51" i="5"/>
  <c r="J51" i="5" s="1"/>
  <c r="L51" i="5" s="1"/>
  <c r="Q51" i="5" s="1"/>
  <c r="S51" i="5" s="1"/>
  <c r="I50" i="5"/>
  <c r="J50" i="5" s="1"/>
  <c r="L50" i="5" s="1"/>
  <c r="Q50" i="5" s="1"/>
  <c r="S50" i="5" s="1"/>
  <c r="I49" i="5"/>
  <c r="J49" i="5" s="1"/>
  <c r="L49" i="5" s="1"/>
  <c r="Q49" i="5" s="1"/>
  <c r="S49" i="5" s="1"/>
  <c r="I48" i="5"/>
  <c r="J48" i="5" s="1"/>
  <c r="L48" i="5" s="1"/>
  <c r="Q48" i="5" s="1"/>
  <c r="S48" i="5" s="1"/>
  <c r="I47" i="5"/>
  <c r="J47" i="5" s="1"/>
  <c r="L47" i="5" s="1"/>
  <c r="Q47" i="5" s="1"/>
  <c r="S47" i="5" s="1"/>
  <c r="I46" i="5"/>
  <c r="J46" i="5" s="1"/>
  <c r="L46" i="5" s="1"/>
  <c r="Q46" i="5" s="1"/>
  <c r="I45" i="5"/>
  <c r="Q44" i="5"/>
  <c r="I44" i="5"/>
  <c r="I43" i="5"/>
  <c r="I41" i="5"/>
  <c r="Q41" i="5" s="1"/>
  <c r="S41" i="5" s="1"/>
  <c r="I40" i="5"/>
  <c r="J40" i="5" s="1"/>
  <c r="L40" i="5" s="1"/>
  <c r="O94" i="4"/>
  <c r="I92" i="4"/>
  <c r="J92" i="4" s="1"/>
  <c r="L92" i="4" s="1"/>
  <c r="I90" i="4"/>
  <c r="J90" i="4" s="1"/>
  <c r="L90" i="4" s="1"/>
  <c r="Q90" i="4" s="1"/>
  <c r="I88" i="4"/>
  <c r="J88" i="4" s="1"/>
  <c r="L88" i="4" s="1"/>
  <c r="S88" i="4" s="1"/>
  <c r="I86" i="4"/>
  <c r="J86" i="4" s="1"/>
  <c r="L86" i="4" s="1"/>
  <c r="Q86" i="4" s="1"/>
  <c r="S86" i="4" s="1"/>
  <c r="I84" i="4"/>
  <c r="Q84" i="4" s="1"/>
  <c r="S84" i="4" s="1"/>
  <c r="I82" i="4"/>
  <c r="J82" i="4" s="1"/>
  <c r="L82" i="4" s="1"/>
  <c r="Q82" i="4" s="1"/>
  <c r="S82" i="4" s="1"/>
  <c r="I80" i="4"/>
  <c r="J80" i="4" s="1"/>
  <c r="L80" i="4" s="1"/>
  <c r="Q80" i="4" s="1"/>
  <c r="I78" i="4"/>
  <c r="J78" i="4" s="1"/>
  <c r="L78" i="4" s="1"/>
  <c r="Q78" i="4" s="1"/>
  <c r="I76" i="4"/>
  <c r="Q76" i="4" s="1"/>
  <c r="I72" i="4"/>
  <c r="J72" i="4" s="1"/>
  <c r="L72" i="4" s="1"/>
  <c r="I70" i="4"/>
  <c r="J70" i="4" s="1"/>
  <c r="L70" i="4" s="1"/>
  <c r="O53" i="3"/>
  <c r="I52" i="3"/>
  <c r="J52" i="3" s="1"/>
  <c r="L52" i="3" s="1"/>
  <c r="I50" i="3"/>
  <c r="J50" i="3" s="1"/>
  <c r="L50" i="3" s="1"/>
  <c r="I48" i="3"/>
  <c r="Q48" i="3" s="1"/>
  <c r="I46" i="3"/>
  <c r="Q46" i="3" s="1"/>
  <c r="Q45" i="3"/>
  <c r="Q91" i="1"/>
  <c r="S91" i="1" s="1"/>
  <c r="H91" i="1"/>
  <c r="G26" i="3"/>
  <c r="H26" i="3"/>
  <c r="F27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P26" i="3"/>
  <c r="P27" i="3"/>
  <c r="P28" i="3"/>
  <c r="P29" i="3"/>
  <c r="P30" i="3"/>
  <c r="P31" i="3"/>
  <c r="P32" i="3"/>
  <c r="P33" i="3"/>
  <c r="P34" i="3"/>
  <c r="P35" i="3"/>
  <c r="P36" i="3"/>
  <c r="P37" i="3"/>
  <c r="P42" i="4"/>
  <c r="P44" i="4"/>
  <c r="P46" i="4"/>
  <c r="P48" i="4"/>
  <c r="P50" i="4"/>
  <c r="P52" i="4"/>
  <c r="P54" i="4"/>
  <c r="P56" i="4"/>
  <c r="P58" i="4"/>
  <c r="P60" i="4"/>
  <c r="P62" i="4"/>
  <c r="P64" i="4"/>
  <c r="F42" i="4"/>
  <c r="G42" i="4"/>
  <c r="H42" i="4"/>
  <c r="F44" i="4"/>
  <c r="G44" i="4"/>
  <c r="H44" i="4"/>
  <c r="F46" i="4"/>
  <c r="G46" i="4"/>
  <c r="H46" i="4"/>
  <c r="F48" i="4"/>
  <c r="G48" i="4"/>
  <c r="H48" i="4"/>
  <c r="F50" i="4"/>
  <c r="G50" i="4"/>
  <c r="H50" i="4"/>
  <c r="F52" i="4"/>
  <c r="G52" i="4"/>
  <c r="H52" i="4"/>
  <c r="F54" i="4"/>
  <c r="G54" i="4"/>
  <c r="H54" i="4"/>
  <c r="F56" i="4"/>
  <c r="G56" i="4"/>
  <c r="H56" i="4"/>
  <c r="F58" i="4"/>
  <c r="G58" i="4"/>
  <c r="H58" i="4"/>
  <c r="F60" i="4"/>
  <c r="G60" i="4"/>
  <c r="H60" i="4"/>
  <c r="F62" i="4"/>
  <c r="G62" i="4"/>
  <c r="H62" i="4"/>
  <c r="F64" i="4"/>
  <c r="G64" i="4"/>
  <c r="H64" i="4"/>
  <c r="P43" i="17"/>
  <c r="P65" i="17"/>
  <c r="P63" i="17"/>
  <c r="P61" i="17"/>
  <c r="P59" i="17"/>
  <c r="P57" i="17"/>
  <c r="P55" i="17"/>
  <c r="P53" i="17"/>
  <c r="P51" i="17"/>
  <c r="P49" i="17"/>
  <c r="P47" i="17"/>
  <c r="P45" i="17"/>
  <c r="P26" i="5"/>
  <c r="P27" i="5"/>
  <c r="P28" i="5"/>
  <c r="P29" i="5"/>
  <c r="P30" i="5"/>
  <c r="P31" i="5"/>
  <c r="P32" i="5"/>
  <c r="P33" i="5"/>
  <c r="P34" i="5"/>
  <c r="P35" i="5"/>
  <c r="P36" i="5"/>
  <c r="P37" i="5"/>
  <c r="G91" i="1"/>
  <c r="F91" i="1"/>
  <c r="H89" i="1"/>
  <c r="G89" i="1"/>
  <c r="F89" i="1"/>
  <c r="I89" i="1" s="1"/>
  <c r="J89" i="1" s="1"/>
  <c r="L89" i="1" s="1"/>
  <c r="R89" i="1" s="1"/>
  <c r="S89" i="1" s="1"/>
  <c r="H87" i="1"/>
  <c r="G87" i="1"/>
  <c r="F87" i="1"/>
  <c r="H85" i="1"/>
  <c r="G85" i="1"/>
  <c r="F85" i="1"/>
  <c r="H83" i="1"/>
  <c r="G83" i="1"/>
  <c r="F83" i="1"/>
  <c r="Q81" i="1"/>
  <c r="H81" i="1"/>
  <c r="G81" i="1"/>
  <c r="F81" i="1"/>
  <c r="H79" i="1"/>
  <c r="G79" i="1"/>
  <c r="F79" i="1"/>
  <c r="G77" i="1"/>
  <c r="H77" i="1"/>
  <c r="F77" i="1"/>
  <c r="I77" i="1" s="1"/>
  <c r="J77" i="1" s="1"/>
  <c r="L77" i="1" s="1"/>
  <c r="Q77" i="1" s="1"/>
  <c r="S77" i="1" s="1"/>
  <c r="Q73" i="1"/>
  <c r="H75" i="1"/>
  <c r="G75" i="1"/>
  <c r="F75" i="1"/>
  <c r="S73" i="1"/>
  <c r="H73" i="1"/>
  <c r="G73" i="1"/>
  <c r="F73" i="1"/>
  <c r="H71" i="1"/>
  <c r="G71" i="1"/>
  <c r="F71" i="1"/>
  <c r="G69" i="1"/>
  <c r="H69" i="1"/>
  <c r="P91" i="1"/>
  <c r="P89" i="1"/>
  <c r="P87" i="1"/>
  <c r="P85" i="1"/>
  <c r="P83" i="1"/>
  <c r="P81" i="1"/>
  <c r="P79" i="1"/>
  <c r="P77" i="1"/>
  <c r="P75" i="1"/>
  <c r="P73" i="1"/>
  <c r="P71" i="1"/>
  <c r="P69" i="1"/>
  <c r="S37" i="5"/>
  <c r="S37" i="6"/>
  <c r="S36" i="6"/>
  <c r="S35" i="6"/>
  <c r="S34" i="6"/>
  <c r="S33" i="6"/>
  <c r="S29" i="6"/>
  <c r="P38" i="6"/>
  <c r="P37" i="6"/>
  <c r="P36" i="6"/>
  <c r="P35" i="6"/>
  <c r="P34" i="6"/>
  <c r="P33" i="6"/>
  <c r="P32" i="6"/>
  <c r="P31" i="6"/>
  <c r="P30" i="6"/>
  <c r="P29" i="6"/>
  <c r="P28" i="6"/>
  <c r="P27" i="6"/>
  <c r="S36" i="8"/>
  <c r="P38" i="8"/>
  <c r="P37" i="8"/>
  <c r="P36" i="8"/>
  <c r="P35" i="8"/>
  <c r="P34" i="8"/>
  <c r="P33" i="8"/>
  <c r="P32" i="8"/>
  <c r="P31" i="8"/>
  <c r="P30" i="8"/>
  <c r="P29" i="8"/>
  <c r="P28" i="8"/>
  <c r="P27" i="8"/>
  <c r="S36" i="9"/>
  <c r="S35" i="9"/>
  <c r="S34" i="9"/>
  <c r="S31" i="9"/>
  <c r="S30" i="9"/>
  <c r="P38" i="9"/>
  <c r="P37" i="9"/>
  <c r="P36" i="9"/>
  <c r="P35" i="9"/>
  <c r="P34" i="9"/>
  <c r="P33" i="9"/>
  <c r="P32" i="9"/>
  <c r="P31" i="9"/>
  <c r="P30" i="9"/>
  <c r="P29" i="9"/>
  <c r="P28" i="9"/>
  <c r="P27" i="9"/>
  <c r="S38" i="14"/>
  <c r="S37" i="14"/>
  <c r="S35" i="14"/>
  <c r="S34" i="14"/>
  <c r="S33" i="14"/>
  <c r="S30" i="14"/>
  <c r="S2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65" i="15"/>
  <c r="P63" i="15"/>
  <c r="P61" i="15"/>
  <c r="P59" i="15"/>
  <c r="P57" i="15"/>
  <c r="P55" i="15"/>
  <c r="P53" i="15"/>
  <c r="P51" i="15"/>
  <c r="P49" i="15"/>
  <c r="P47" i="15"/>
  <c r="P45" i="15"/>
  <c r="P43" i="15"/>
  <c r="S37" i="16"/>
  <c r="S35" i="16"/>
  <c r="S34" i="16"/>
  <c r="S33" i="16"/>
  <c r="S32" i="16"/>
  <c r="S31" i="16"/>
  <c r="S28" i="16"/>
  <c r="P37" i="16"/>
  <c r="P36" i="16"/>
  <c r="P35" i="16"/>
  <c r="P34" i="16"/>
  <c r="P33" i="16"/>
  <c r="P32" i="16"/>
  <c r="P31" i="16"/>
  <c r="P30" i="16"/>
  <c r="P29" i="16"/>
  <c r="P28" i="16"/>
  <c r="P27" i="16"/>
  <c r="S53" i="17"/>
  <c r="S51" i="17"/>
  <c r="S38" i="18"/>
  <c r="S36" i="18"/>
  <c r="S34" i="18"/>
  <c r="S30" i="18"/>
  <c r="S27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O93" i="1"/>
  <c r="I85" i="1"/>
  <c r="J85" i="1" s="1"/>
  <c r="L85" i="1" s="1"/>
  <c r="R85" i="1" s="1"/>
  <c r="S85" i="1" s="1"/>
  <c r="I75" i="1" l="1"/>
  <c r="I83" i="1"/>
  <c r="I69" i="1"/>
  <c r="J69" i="1" s="1"/>
  <c r="L69" i="1" s="1"/>
  <c r="Q69" i="1" s="1"/>
  <c r="I73" i="1"/>
  <c r="J73" i="1" s="1"/>
  <c r="L73" i="1" s="1"/>
  <c r="I79" i="1"/>
  <c r="J79" i="1" s="1"/>
  <c r="L79" i="1" s="1"/>
  <c r="Q79" i="1" s="1"/>
  <c r="S79" i="1" s="1"/>
  <c r="S81" i="1"/>
  <c r="I71" i="1"/>
  <c r="J71" i="1" s="1"/>
  <c r="L71" i="1" s="1"/>
  <c r="R71" i="1" s="1"/>
  <c r="S71" i="1" s="1"/>
  <c r="S42" i="16"/>
  <c r="R54" i="16"/>
  <c r="R55" i="16"/>
  <c r="S48" i="16"/>
  <c r="S55" i="16" s="1"/>
  <c r="I44" i="16"/>
  <c r="J44" i="16" s="1"/>
  <c r="L44" i="16" s="1"/>
  <c r="Q44" i="16" s="1"/>
  <c r="S44" i="16" s="1"/>
  <c r="J43" i="9"/>
  <c r="J44" i="9" s="1"/>
  <c r="J45" i="9" s="1"/>
  <c r="J46" i="9" s="1"/>
  <c r="J47" i="9" s="1"/>
  <c r="Q46" i="9"/>
  <c r="S46" i="9" s="1"/>
  <c r="S42" i="9"/>
  <c r="S49" i="8"/>
  <c r="L44" i="8"/>
  <c r="Q50" i="8"/>
  <c r="S50" i="8" s="1"/>
  <c r="J50" i="8"/>
  <c r="J51" i="8" s="1"/>
  <c r="L51" i="8" s="1"/>
  <c r="Q51" i="8" s="1"/>
  <c r="L48" i="8"/>
  <c r="R48" i="8" s="1"/>
  <c r="S48" i="8" s="1"/>
  <c r="J48" i="8"/>
  <c r="L42" i="5"/>
  <c r="Q42" i="5" s="1"/>
  <c r="S42" i="5" s="1"/>
  <c r="R53" i="5"/>
  <c r="S46" i="5"/>
  <c r="S53" i="5" s="1"/>
  <c r="J41" i="5"/>
  <c r="J42" i="5"/>
  <c r="J43" i="5" s="1"/>
  <c r="S48" i="6"/>
  <c r="Q49" i="6"/>
  <c r="S49" i="6" s="1"/>
  <c r="L49" i="6"/>
  <c r="J49" i="6"/>
  <c r="R43" i="6"/>
  <c r="S43" i="6" s="1"/>
  <c r="L43" i="6"/>
  <c r="J47" i="6"/>
  <c r="L47" i="6" s="1"/>
  <c r="R47" i="6" s="1"/>
  <c r="S47" i="6" s="1"/>
  <c r="S42" i="6"/>
  <c r="J42" i="18"/>
  <c r="L43" i="18" s="1"/>
  <c r="R43" i="18" s="1"/>
  <c r="S43" i="18" s="1"/>
  <c r="J45" i="18"/>
  <c r="L45" i="18" s="1"/>
  <c r="Q45" i="18" s="1"/>
  <c r="S45" i="18" s="1"/>
  <c r="I41" i="3"/>
  <c r="J41" i="3" s="1"/>
  <c r="L41" i="3" s="1"/>
  <c r="Q41" i="3" s="1"/>
  <c r="Q44" i="9"/>
  <c r="S44" i="9" s="1"/>
  <c r="L17" i="20"/>
  <c r="P54" i="18"/>
  <c r="P94" i="17"/>
  <c r="P54" i="16"/>
  <c r="P94" i="15"/>
  <c r="P54" i="14"/>
  <c r="P54" i="9"/>
  <c r="P55" i="8"/>
  <c r="P54" i="6"/>
  <c r="P52" i="5"/>
  <c r="P94" i="4"/>
  <c r="I42" i="3"/>
  <c r="J42" i="3" s="1"/>
  <c r="I47" i="3"/>
  <c r="L47" i="3" s="1"/>
  <c r="Q47" i="3" s="1"/>
  <c r="S47" i="3" s="1"/>
  <c r="I49" i="3"/>
  <c r="J49" i="3" s="1"/>
  <c r="L49" i="3" s="1"/>
  <c r="Q49" i="3" s="1"/>
  <c r="I51" i="3"/>
  <c r="J51" i="3" s="1"/>
  <c r="L51" i="3" s="1"/>
  <c r="Q51" i="3" s="1"/>
  <c r="I44" i="3"/>
  <c r="J44" i="3" s="1"/>
  <c r="L44" i="3" s="1"/>
  <c r="Q44" i="3" s="1"/>
  <c r="I43" i="3"/>
  <c r="J43" i="3" s="1"/>
  <c r="L43" i="3" s="1"/>
  <c r="Q43" i="3" s="1"/>
  <c r="S43" i="3" s="1"/>
  <c r="I45" i="3"/>
  <c r="J45" i="3" s="1"/>
  <c r="L45" i="3" s="1"/>
  <c r="P53" i="3"/>
  <c r="Q12" i="20"/>
  <c r="S12" i="20" s="1"/>
  <c r="R10" i="20"/>
  <c r="S10" i="20" s="1"/>
  <c r="Q11" i="20"/>
  <c r="S8" i="20"/>
  <c r="S7" i="20"/>
  <c r="S17" i="20" s="1"/>
  <c r="L94" i="17"/>
  <c r="R70" i="17"/>
  <c r="S70" i="17" s="1"/>
  <c r="L54" i="16"/>
  <c r="Q70" i="15"/>
  <c r="S70" i="15" s="1"/>
  <c r="J72" i="15"/>
  <c r="L76" i="15"/>
  <c r="R76" i="15" s="1"/>
  <c r="S76" i="15" s="1"/>
  <c r="J76" i="15"/>
  <c r="J70" i="15"/>
  <c r="Q49" i="9"/>
  <c r="S49" i="9" s="1"/>
  <c r="Q43" i="8"/>
  <c r="L50" i="6"/>
  <c r="R50" i="6" s="1"/>
  <c r="S50" i="6" s="1"/>
  <c r="Q40" i="5"/>
  <c r="Q70" i="4"/>
  <c r="S70" i="4" s="1"/>
  <c r="L94" i="4"/>
  <c r="I91" i="1"/>
  <c r="J91" i="1" s="1"/>
  <c r="L91" i="1" s="1"/>
  <c r="I87" i="1"/>
  <c r="J87" i="1" s="1"/>
  <c r="L87" i="1" s="1"/>
  <c r="R87" i="1" s="1"/>
  <c r="S87" i="1" s="1"/>
  <c r="I81" i="1"/>
  <c r="J81" i="1" s="1"/>
  <c r="L81" i="1" s="1"/>
  <c r="P93" i="1"/>
  <c r="S69" i="1"/>
  <c r="J83" i="1" l="1"/>
  <c r="L83" i="1" s="1"/>
  <c r="Q83" i="1" s="1"/>
  <c r="J75" i="1"/>
  <c r="L75" i="1" s="1"/>
  <c r="Q75" i="1" s="1"/>
  <c r="S75" i="1" s="1"/>
  <c r="S93" i="1" s="1"/>
  <c r="S20" i="20"/>
  <c r="R18" i="20"/>
  <c r="R17" i="20"/>
  <c r="R57" i="16"/>
  <c r="S54" i="16"/>
  <c r="S57" i="16" s="1"/>
  <c r="J48" i="9"/>
  <c r="L47" i="9"/>
  <c r="S51" i="8"/>
  <c r="R56" i="8"/>
  <c r="S56" i="8"/>
  <c r="S43" i="8"/>
  <c r="S55" i="8" s="1"/>
  <c r="L55" i="8"/>
  <c r="R44" i="8"/>
  <c r="S44" i="8" s="1"/>
  <c r="L43" i="5"/>
  <c r="Q43" i="5" s="1"/>
  <c r="S43" i="5" s="1"/>
  <c r="J44" i="5"/>
  <c r="J45" i="5" s="1"/>
  <c r="L45" i="5" s="1"/>
  <c r="Q45" i="5" s="1"/>
  <c r="S45" i="5" s="1"/>
  <c r="S40" i="5"/>
  <c r="S52" i="5" s="1"/>
  <c r="S55" i="5" s="1"/>
  <c r="L54" i="6"/>
  <c r="R54" i="6"/>
  <c r="R57" i="6" s="1"/>
  <c r="S55" i="6"/>
  <c r="S54" i="6"/>
  <c r="R55" i="6"/>
  <c r="J46" i="18"/>
  <c r="L42" i="18"/>
  <c r="Q42" i="3"/>
  <c r="S42" i="3" s="1"/>
  <c r="L42" i="3"/>
  <c r="S41" i="3"/>
  <c r="L93" i="1" l="1"/>
  <c r="S83" i="1"/>
  <c r="S94" i="1" s="1"/>
  <c r="S96" i="1" s="1"/>
  <c r="R94" i="1"/>
  <c r="R93" i="1"/>
  <c r="Q47" i="9"/>
  <c r="J49" i="9"/>
  <c r="L48" i="9"/>
  <c r="Q48" i="9" s="1"/>
  <c r="S58" i="8"/>
  <c r="S57" i="8"/>
  <c r="R55" i="8"/>
  <c r="R52" i="5"/>
  <c r="R55" i="5" s="1"/>
  <c r="L52" i="5"/>
  <c r="S57" i="6"/>
  <c r="L46" i="18"/>
  <c r="Q46" i="18" s="1"/>
  <c r="S46" i="18" s="1"/>
  <c r="J47" i="18"/>
  <c r="Q42" i="18"/>
  <c r="R67" i="3"/>
  <c r="R68" i="3"/>
  <c r="R68" i="14"/>
  <c r="R67" i="14"/>
  <c r="P52" i="1"/>
  <c r="P56" i="1"/>
  <c r="P54" i="1"/>
  <c r="P50" i="1"/>
  <c r="R96" i="1" l="1"/>
  <c r="S48" i="9"/>
  <c r="L50" i="9"/>
  <c r="J50" i="9"/>
  <c r="S47" i="9"/>
  <c r="S54" i="9" s="1"/>
  <c r="R54" i="9"/>
  <c r="R57" i="8"/>
  <c r="R58" i="8"/>
  <c r="R54" i="18"/>
  <c r="J48" i="18"/>
  <c r="L47" i="18"/>
  <c r="Q47" i="18" s="1"/>
  <c r="S47" i="18" s="1"/>
  <c r="S42" i="18"/>
  <c r="S54" i="18" s="1"/>
  <c r="P38" i="16"/>
  <c r="P39" i="14"/>
  <c r="P39" i="8"/>
  <c r="P42" i="1"/>
  <c r="P64" i="1"/>
  <c r="P62" i="1"/>
  <c r="P60" i="1"/>
  <c r="P58" i="1"/>
  <c r="P48" i="1"/>
  <c r="P46" i="1"/>
  <c r="P44" i="1"/>
  <c r="O67" i="17"/>
  <c r="O38" i="3"/>
  <c r="L51" i="9" l="1"/>
  <c r="Q51" i="9" s="1"/>
  <c r="S51" i="9" s="1"/>
  <c r="J51" i="9"/>
  <c r="J52" i="9" s="1"/>
  <c r="L52" i="9" s="1"/>
  <c r="R52" i="9" s="1"/>
  <c r="S52" i="9" s="1"/>
  <c r="Q50" i="9"/>
  <c r="J49" i="18"/>
  <c r="L48" i="18"/>
  <c r="Q48" i="18" s="1"/>
  <c r="P38" i="3"/>
  <c r="O67" i="15"/>
  <c r="P67" i="15"/>
  <c r="S50" i="9" l="1"/>
  <c r="S55" i="9" s="1"/>
  <c r="S57" i="9" s="1"/>
  <c r="R55" i="9"/>
  <c r="R57" i="9" s="1"/>
  <c r="L54" i="9"/>
  <c r="S48" i="18"/>
  <c r="L49" i="18"/>
  <c r="J50" i="18"/>
  <c r="H38" i="18"/>
  <c r="G38" i="18"/>
  <c r="F38" i="18"/>
  <c r="H65" i="17"/>
  <c r="G65" i="17"/>
  <c r="F65" i="17"/>
  <c r="H38" i="16"/>
  <c r="G38" i="16"/>
  <c r="H65" i="15"/>
  <c r="G65" i="15"/>
  <c r="F65" i="15"/>
  <c r="H38" i="14"/>
  <c r="G38" i="14"/>
  <c r="H38" i="9"/>
  <c r="G38" i="9"/>
  <c r="H38" i="8"/>
  <c r="G38" i="8"/>
  <c r="H38" i="6"/>
  <c r="G38" i="6"/>
  <c r="H37" i="5"/>
  <c r="G37" i="5"/>
  <c r="H64" i="1"/>
  <c r="G64" i="1"/>
  <c r="F64" i="1"/>
  <c r="H37" i="18"/>
  <c r="G37" i="18"/>
  <c r="H63" i="17"/>
  <c r="G63" i="17"/>
  <c r="F63" i="17"/>
  <c r="H37" i="16"/>
  <c r="G37" i="16"/>
  <c r="H63" i="15"/>
  <c r="G63" i="15"/>
  <c r="F63" i="15"/>
  <c r="H37" i="14"/>
  <c r="I37" i="14" s="1"/>
  <c r="J37" i="14" s="1"/>
  <c r="L37" i="14" s="1"/>
  <c r="Q37" i="14" s="1"/>
  <c r="G37" i="14"/>
  <c r="H37" i="9"/>
  <c r="I37" i="9" s="1"/>
  <c r="J37" i="9" s="1"/>
  <c r="L37" i="9" s="1"/>
  <c r="R37" i="9" s="1"/>
  <c r="S37" i="9" s="1"/>
  <c r="G37" i="9"/>
  <c r="H37" i="8"/>
  <c r="G37" i="8"/>
  <c r="H37" i="6"/>
  <c r="I37" i="6" s="1"/>
  <c r="J37" i="6" s="1"/>
  <c r="L37" i="6" s="1"/>
  <c r="G37" i="6"/>
  <c r="H36" i="5"/>
  <c r="G36" i="5"/>
  <c r="H62" i="1"/>
  <c r="G62" i="1"/>
  <c r="F62" i="1"/>
  <c r="H36" i="18"/>
  <c r="G36" i="18"/>
  <c r="H61" i="17"/>
  <c r="G61" i="17"/>
  <c r="F61" i="17"/>
  <c r="H36" i="16"/>
  <c r="G36" i="16"/>
  <c r="H61" i="15"/>
  <c r="G61" i="15"/>
  <c r="F61" i="15"/>
  <c r="H36" i="14"/>
  <c r="G36" i="14"/>
  <c r="H36" i="9"/>
  <c r="I36" i="9" s="1"/>
  <c r="J36" i="9" s="1"/>
  <c r="G36" i="9"/>
  <c r="H36" i="8"/>
  <c r="G36" i="8"/>
  <c r="H36" i="6"/>
  <c r="G36" i="6"/>
  <c r="H35" i="5"/>
  <c r="G35" i="5"/>
  <c r="I35" i="5" s="1"/>
  <c r="J35" i="5" s="1"/>
  <c r="L35" i="5" s="1"/>
  <c r="Q35" i="5" s="1"/>
  <c r="S35" i="5" s="1"/>
  <c r="H60" i="1"/>
  <c r="G60" i="1"/>
  <c r="F60" i="1"/>
  <c r="H35" i="18"/>
  <c r="G35" i="18"/>
  <c r="H59" i="17"/>
  <c r="G59" i="17"/>
  <c r="F59" i="17"/>
  <c r="H35" i="16"/>
  <c r="G35" i="16"/>
  <c r="H59" i="15"/>
  <c r="G59" i="15"/>
  <c r="F59" i="15"/>
  <c r="H35" i="14"/>
  <c r="G35" i="14"/>
  <c r="H35" i="9"/>
  <c r="G35" i="9"/>
  <c r="I35" i="9" s="1"/>
  <c r="J35" i="9" s="1"/>
  <c r="L36" i="9" s="1"/>
  <c r="Q36" i="9" s="1"/>
  <c r="H35" i="8"/>
  <c r="G35" i="8"/>
  <c r="H35" i="6"/>
  <c r="G35" i="6"/>
  <c r="H34" i="5"/>
  <c r="G34" i="5"/>
  <c r="H58" i="1"/>
  <c r="G58" i="1"/>
  <c r="F58" i="1"/>
  <c r="H34" i="18"/>
  <c r="G34" i="18"/>
  <c r="H57" i="17"/>
  <c r="G57" i="17"/>
  <c r="F57" i="17"/>
  <c r="H34" i="16"/>
  <c r="I34" i="16" s="1"/>
  <c r="J34" i="16" s="1"/>
  <c r="G34" i="16"/>
  <c r="H57" i="15"/>
  <c r="I57" i="15" s="1"/>
  <c r="G57" i="15"/>
  <c r="F57" i="15"/>
  <c r="H34" i="14"/>
  <c r="G34" i="14"/>
  <c r="H34" i="9"/>
  <c r="G34" i="9"/>
  <c r="H34" i="8"/>
  <c r="G34" i="8"/>
  <c r="H34" i="6"/>
  <c r="G34" i="6"/>
  <c r="H33" i="5"/>
  <c r="G33" i="5"/>
  <c r="H56" i="1"/>
  <c r="G56" i="1"/>
  <c r="F56" i="1"/>
  <c r="H33" i="18"/>
  <c r="G33" i="18"/>
  <c r="H55" i="17"/>
  <c r="G55" i="17"/>
  <c r="F55" i="17"/>
  <c r="H33" i="16"/>
  <c r="G33" i="16"/>
  <c r="H55" i="15"/>
  <c r="G55" i="15"/>
  <c r="F55" i="15"/>
  <c r="H33" i="14"/>
  <c r="G33" i="14"/>
  <c r="H33" i="9"/>
  <c r="I33" i="9" s="1"/>
  <c r="J33" i="9" s="1"/>
  <c r="L33" i="9" s="1"/>
  <c r="R33" i="9" s="1"/>
  <c r="S33" i="9" s="1"/>
  <c r="G33" i="9"/>
  <c r="H33" i="8"/>
  <c r="G33" i="8"/>
  <c r="H33" i="6"/>
  <c r="G33" i="6"/>
  <c r="H32" i="5"/>
  <c r="G32" i="5"/>
  <c r="I54" i="1"/>
  <c r="H54" i="1"/>
  <c r="G54" i="1"/>
  <c r="F54" i="1"/>
  <c r="I52" i="1"/>
  <c r="G52" i="1"/>
  <c r="F52" i="1"/>
  <c r="H32" i="18"/>
  <c r="G32" i="18"/>
  <c r="H53" i="17"/>
  <c r="G53" i="17"/>
  <c r="F53" i="17"/>
  <c r="H32" i="16"/>
  <c r="G32" i="16"/>
  <c r="H53" i="15"/>
  <c r="G53" i="15"/>
  <c r="F53" i="15"/>
  <c r="H32" i="14"/>
  <c r="G32" i="14"/>
  <c r="I32" i="14" s="1"/>
  <c r="J32" i="14" s="1"/>
  <c r="H32" i="9"/>
  <c r="G32" i="9"/>
  <c r="H32" i="8"/>
  <c r="G32" i="8"/>
  <c r="H32" i="6"/>
  <c r="G32" i="6"/>
  <c r="H31" i="5"/>
  <c r="G31" i="5"/>
  <c r="H52" i="1"/>
  <c r="H31" i="18"/>
  <c r="G31" i="18"/>
  <c r="H51" i="17"/>
  <c r="G51" i="17"/>
  <c r="F51" i="17"/>
  <c r="I51" i="17" s="1"/>
  <c r="J51" i="17" s="1"/>
  <c r="L51" i="17" s="1"/>
  <c r="H31" i="16"/>
  <c r="G31" i="16"/>
  <c r="H51" i="15"/>
  <c r="G51" i="15"/>
  <c r="F51" i="15"/>
  <c r="H31" i="14"/>
  <c r="I31" i="14" s="1"/>
  <c r="J31" i="14" s="1"/>
  <c r="G31" i="14"/>
  <c r="H31" i="9"/>
  <c r="G31" i="9"/>
  <c r="H31" i="8"/>
  <c r="G31" i="8"/>
  <c r="I31" i="8" s="1"/>
  <c r="J31" i="8" s="1"/>
  <c r="H31" i="6"/>
  <c r="G31" i="6"/>
  <c r="H30" i="5"/>
  <c r="G30" i="5"/>
  <c r="H50" i="1"/>
  <c r="G50" i="1"/>
  <c r="F50" i="1"/>
  <c r="H30" i="18"/>
  <c r="G30" i="18"/>
  <c r="H49" i="17"/>
  <c r="G49" i="17"/>
  <c r="F49" i="17"/>
  <c r="H30" i="16"/>
  <c r="G30" i="16"/>
  <c r="H49" i="15"/>
  <c r="G49" i="15"/>
  <c r="F49" i="15"/>
  <c r="H30" i="14"/>
  <c r="G30" i="14"/>
  <c r="I30" i="14" s="1"/>
  <c r="J30" i="14" s="1"/>
  <c r="H30" i="9"/>
  <c r="G30" i="9"/>
  <c r="H30" i="8"/>
  <c r="G30" i="8"/>
  <c r="H30" i="6"/>
  <c r="G30" i="6"/>
  <c r="H29" i="5"/>
  <c r="G29" i="5"/>
  <c r="I29" i="5" s="1"/>
  <c r="J29" i="5" s="1"/>
  <c r="L29" i="5" s="1"/>
  <c r="Q29" i="5" s="1"/>
  <c r="S29" i="5" s="1"/>
  <c r="H48" i="1"/>
  <c r="G48" i="1"/>
  <c r="F48" i="1"/>
  <c r="H29" i="18"/>
  <c r="G29" i="18"/>
  <c r="I29" i="18" s="1"/>
  <c r="J29" i="18" s="1"/>
  <c r="L29" i="18" s="1"/>
  <c r="Q29" i="18" s="1"/>
  <c r="S29" i="18" s="1"/>
  <c r="H47" i="17"/>
  <c r="G47" i="17"/>
  <c r="F47" i="17"/>
  <c r="F45" i="17"/>
  <c r="I45" i="17" s="1"/>
  <c r="J45" i="17" s="1"/>
  <c r="H29" i="16"/>
  <c r="G29" i="16"/>
  <c r="H47" i="15"/>
  <c r="G47" i="15"/>
  <c r="F47" i="15"/>
  <c r="L28" i="14"/>
  <c r="Q28" i="14" s="1"/>
  <c r="S28" i="14" s="1"/>
  <c r="H29" i="14"/>
  <c r="I29" i="14" s="1"/>
  <c r="J29" i="14" s="1"/>
  <c r="L29" i="14" s="1"/>
  <c r="Q29" i="14" s="1"/>
  <c r="G29" i="14"/>
  <c r="L40" i="18"/>
  <c r="H29" i="9"/>
  <c r="I29" i="9" s="1"/>
  <c r="J29" i="9" s="1"/>
  <c r="L29" i="9" s="1"/>
  <c r="R29" i="9" s="1"/>
  <c r="S29" i="9" s="1"/>
  <c r="H29" i="8"/>
  <c r="G29" i="8"/>
  <c r="H29" i="6"/>
  <c r="G29" i="6"/>
  <c r="H28" i="5"/>
  <c r="I28" i="5" s="1"/>
  <c r="J28" i="5" s="1"/>
  <c r="L28" i="5" s="1"/>
  <c r="G28" i="5"/>
  <c r="H46" i="1"/>
  <c r="G46" i="1"/>
  <c r="F46" i="1"/>
  <c r="H28" i="18"/>
  <c r="G28" i="18"/>
  <c r="H28" i="16"/>
  <c r="G28" i="16"/>
  <c r="H45" i="17"/>
  <c r="G45" i="17"/>
  <c r="H28" i="9"/>
  <c r="I28" i="9" s="1"/>
  <c r="J28" i="9" s="1"/>
  <c r="L28" i="9" s="1"/>
  <c r="G28" i="9"/>
  <c r="H28" i="8"/>
  <c r="G28" i="8"/>
  <c r="H44" i="1"/>
  <c r="G44" i="1"/>
  <c r="F44" i="1"/>
  <c r="H28" i="6"/>
  <c r="G28" i="6"/>
  <c r="I28" i="6" s="1"/>
  <c r="J28" i="6" s="1"/>
  <c r="H27" i="5"/>
  <c r="G27" i="5"/>
  <c r="H28" i="14"/>
  <c r="G28" i="14"/>
  <c r="F28" i="14"/>
  <c r="H45" i="15"/>
  <c r="G45" i="15"/>
  <c r="F45" i="15"/>
  <c r="S49" i="17"/>
  <c r="S31" i="6"/>
  <c r="H27" i="16"/>
  <c r="G27" i="16"/>
  <c r="H43" i="17"/>
  <c r="G43" i="17"/>
  <c r="F43" i="17"/>
  <c r="H27" i="9"/>
  <c r="G27" i="9"/>
  <c r="F27" i="9"/>
  <c r="H27" i="8"/>
  <c r="G27" i="8"/>
  <c r="H42" i="1"/>
  <c r="G42" i="1"/>
  <c r="F42" i="1"/>
  <c r="H27" i="6"/>
  <c r="G27" i="6"/>
  <c r="H26" i="5"/>
  <c r="I26" i="5" s="1"/>
  <c r="J26" i="5" s="1"/>
  <c r="L26" i="5" s="1"/>
  <c r="G26" i="5"/>
  <c r="H27" i="18"/>
  <c r="G27" i="18"/>
  <c r="H27" i="14"/>
  <c r="I27" i="14" s="1"/>
  <c r="J27" i="14" s="1"/>
  <c r="R27" i="14" s="1"/>
  <c r="S27" i="14" s="1"/>
  <c r="G27" i="14"/>
  <c r="G43" i="15"/>
  <c r="H43" i="15"/>
  <c r="F43" i="15"/>
  <c r="O39" i="18"/>
  <c r="O39" i="16"/>
  <c r="O39" i="14"/>
  <c r="I38" i="14"/>
  <c r="J38" i="14" s="1"/>
  <c r="L38" i="14" s="1"/>
  <c r="Q38" i="14" s="1"/>
  <c r="O39" i="9"/>
  <c r="Q30" i="9"/>
  <c r="O39" i="8"/>
  <c r="Q37" i="8"/>
  <c r="S37" i="8" s="1"/>
  <c r="Q35" i="8"/>
  <c r="S35" i="8" s="1"/>
  <c r="Q31" i="8"/>
  <c r="S31" i="8" s="1"/>
  <c r="I28" i="8"/>
  <c r="J28" i="8" s="1"/>
  <c r="L28" i="8" s="1"/>
  <c r="Q28" i="8" s="1"/>
  <c r="S28" i="8" s="1"/>
  <c r="O39" i="6"/>
  <c r="I38" i="6"/>
  <c r="J38" i="6" s="1"/>
  <c r="L38" i="6" s="1"/>
  <c r="R38" i="6" s="1"/>
  <c r="S38" i="6" s="1"/>
  <c r="O38" i="5"/>
  <c r="I33" i="5"/>
  <c r="J33" i="5" s="1"/>
  <c r="O66" i="4"/>
  <c r="P66" i="4"/>
  <c r="Q30" i="3"/>
  <c r="S30" i="3" s="1"/>
  <c r="O66" i="1"/>
  <c r="I56" i="1" l="1"/>
  <c r="I29" i="16"/>
  <c r="J29" i="16" s="1"/>
  <c r="L29" i="16" s="1"/>
  <c r="R29" i="16" s="1"/>
  <c r="S29" i="16" s="1"/>
  <c r="I36" i="16"/>
  <c r="J36" i="16" s="1"/>
  <c r="L36" i="16" s="1"/>
  <c r="R36" i="16" s="1"/>
  <c r="S36" i="16" s="1"/>
  <c r="I38" i="16"/>
  <c r="J38" i="16" s="1"/>
  <c r="L38" i="16" s="1"/>
  <c r="R38" i="16" s="1"/>
  <c r="S38" i="16" s="1"/>
  <c r="I31" i="9"/>
  <c r="J31" i="9" s="1"/>
  <c r="L31" i="9" s="1"/>
  <c r="I32" i="9"/>
  <c r="J32" i="9" s="1"/>
  <c r="L32" i="9" s="1"/>
  <c r="R32" i="9" s="1"/>
  <c r="S32" i="9" s="1"/>
  <c r="I32" i="8"/>
  <c r="I33" i="8"/>
  <c r="J33" i="8" s="1"/>
  <c r="L33" i="8" s="1"/>
  <c r="Q33" i="8" s="1"/>
  <c r="S33" i="8" s="1"/>
  <c r="I30" i="5"/>
  <c r="J30" i="5" s="1"/>
  <c r="I27" i="6"/>
  <c r="J27" i="6" s="1"/>
  <c r="J51" i="18"/>
  <c r="L50" i="18"/>
  <c r="Q50" i="18" s="1"/>
  <c r="S50" i="18" s="1"/>
  <c r="I33" i="18"/>
  <c r="J33" i="18" s="1"/>
  <c r="L33" i="18" s="1"/>
  <c r="Q33" i="18" s="1"/>
  <c r="S33" i="18" s="1"/>
  <c r="Q49" i="18"/>
  <c r="I28" i="18"/>
  <c r="J28" i="18" s="1"/>
  <c r="L28" i="18" s="1"/>
  <c r="Q28" i="18" s="1"/>
  <c r="S28" i="18" s="1"/>
  <c r="I32" i="18"/>
  <c r="J32" i="18" s="1"/>
  <c r="L32" i="18" s="1"/>
  <c r="Q32" i="18" s="1"/>
  <c r="S32" i="18" s="1"/>
  <c r="I28" i="3"/>
  <c r="J28" i="3" s="1"/>
  <c r="L28" i="3" s="1"/>
  <c r="Q28" i="3" s="1"/>
  <c r="S28" i="3" s="1"/>
  <c r="I32" i="3"/>
  <c r="I33" i="3"/>
  <c r="J33" i="3" s="1"/>
  <c r="I27" i="3"/>
  <c r="J27" i="3" s="1"/>
  <c r="L27" i="3" s="1"/>
  <c r="Q27" i="3" s="1"/>
  <c r="S27" i="3" s="1"/>
  <c r="I37" i="3"/>
  <c r="J37" i="3" s="1"/>
  <c r="I43" i="15"/>
  <c r="J43" i="15" s="1"/>
  <c r="I49" i="15"/>
  <c r="L49" i="15" s="1"/>
  <c r="R49" i="15" s="1"/>
  <c r="S49" i="15" s="1"/>
  <c r="I52" i="4"/>
  <c r="J52" i="4" s="1"/>
  <c r="L52" i="4" s="1"/>
  <c r="R52" i="4" s="1"/>
  <c r="S52" i="4" s="1"/>
  <c r="I54" i="4"/>
  <c r="J54" i="4" s="1"/>
  <c r="L54" i="4" s="1"/>
  <c r="R54" i="4" s="1"/>
  <c r="S54" i="4" s="1"/>
  <c r="I55" i="15"/>
  <c r="I27" i="18"/>
  <c r="J27" i="18" s="1"/>
  <c r="L27" i="18" s="1"/>
  <c r="R27" i="18" s="1"/>
  <c r="I46" i="4"/>
  <c r="J46" i="4" s="1"/>
  <c r="L46" i="4" s="1"/>
  <c r="Q46" i="4" s="1"/>
  <c r="S46" i="4" s="1"/>
  <c r="I50" i="4"/>
  <c r="J50" i="4" s="1"/>
  <c r="L50" i="4" s="1"/>
  <c r="Q50" i="4" s="1"/>
  <c r="S50" i="4" s="1"/>
  <c r="I31" i="18"/>
  <c r="J31" i="18" s="1"/>
  <c r="L31" i="18" s="1"/>
  <c r="Q31" i="18" s="1"/>
  <c r="S31" i="18" s="1"/>
  <c r="I31" i="3"/>
  <c r="J31" i="3" s="1"/>
  <c r="I53" i="17"/>
  <c r="J53" i="17" s="1"/>
  <c r="L53" i="17" s="1"/>
  <c r="Q53" i="17" s="1"/>
  <c r="I55" i="17"/>
  <c r="J55" i="17" s="1"/>
  <c r="L55" i="17" s="1"/>
  <c r="R55" i="17" s="1"/>
  <c r="S55" i="17" s="1"/>
  <c r="I35" i="14"/>
  <c r="J35" i="14" s="1"/>
  <c r="L35" i="14" s="1"/>
  <c r="Q35" i="14" s="1"/>
  <c r="I35" i="3"/>
  <c r="J35" i="3" s="1"/>
  <c r="I37" i="18"/>
  <c r="J37" i="18" s="1"/>
  <c r="L37" i="18" s="1"/>
  <c r="Q37" i="18" s="1"/>
  <c r="S37" i="18" s="1"/>
  <c r="I38" i="9"/>
  <c r="J38" i="9" s="1"/>
  <c r="L38" i="9" s="1"/>
  <c r="R38" i="9" s="1"/>
  <c r="S38" i="9" s="1"/>
  <c r="I26" i="3"/>
  <c r="J26" i="3" s="1"/>
  <c r="L26" i="3" s="1"/>
  <c r="R26" i="3" s="1"/>
  <c r="S26" i="3" s="1"/>
  <c r="I29" i="6"/>
  <c r="J29" i="6" s="1"/>
  <c r="L29" i="6" s="1"/>
  <c r="Q29" i="6" s="1"/>
  <c r="I49" i="17"/>
  <c r="J49" i="17" s="1"/>
  <c r="L49" i="17" s="1"/>
  <c r="Q49" i="17" s="1"/>
  <c r="I30" i="18"/>
  <c r="J30" i="18" s="1"/>
  <c r="L30" i="18" s="1"/>
  <c r="R30" i="18" s="1"/>
  <c r="I30" i="3"/>
  <c r="J30" i="3" s="1"/>
  <c r="L30" i="3" s="1"/>
  <c r="I31" i="16"/>
  <c r="J31" i="16" s="1"/>
  <c r="L31" i="16" s="1"/>
  <c r="Q31" i="16" s="1"/>
  <c r="I32" i="6"/>
  <c r="J32" i="6" s="1"/>
  <c r="L32" i="6" s="1"/>
  <c r="R32" i="6" s="1"/>
  <c r="S32" i="6" s="1"/>
  <c r="I32" i="16"/>
  <c r="J32" i="16" s="1"/>
  <c r="L32" i="16" s="1"/>
  <c r="Q32" i="16" s="1"/>
  <c r="I32" i="5"/>
  <c r="I58" i="4"/>
  <c r="J58" i="4" s="1"/>
  <c r="L58" i="4" s="1"/>
  <c r="Q58" i="4" s="1"/>
  <c r="S58" i="4" s="1"/>
  <c r="I36" i="18"/>
  <c r="J36" i="18" s="1"/>
  <c r="L36" i="18" s="1"/>
  <c r="R36" i="18" s="1"/>
  <c r="I37" i="5"/>
  <c r="J37" i="5" s="1"/>
  <c r="L37" i="5" s="1"/>
  <c r="R37" i="5" s="1"/>
  <c r="I38" i="8"/>
  <c r="J38" i="8" s="1"/>
  <c r="L38" i="8" s="1"/>
  <c r="Q38" i="8" s="1"/>
  <c r="S38" i="8" s="1"/>
  <c r="I48" i="1"/>
  <c r="J48" i="1" s="1"/>
  <c r="L48" i="1" s="1"/>
  <c r="Q48" i="1" s="1"/>
  <c r="S48" i="1" s="1"/>
  <c r="I30" i="8"/>
  <c r="J30" i="8" s="1"/>
  <c r="L30" i="8" s="1"/>
  <c r="Q30" i="8" s="1"/>
  <c r="S30" i="8" s="1"/>
  <c r="I57" i="17"/>
  <c r="J57" i="17" s="1"/>
  <c r="L57" i="17" s="1"/>
  <c r="L28" i="6"/>
  <c r="Q28" i="6" s="1"/>
  <c r="S28" i="6" s="1"/>
  <c r="I33" i="6"/>
  <c r="J33" i="6" s="1"/>
  <c r="L33" i="6" s="1"/>
  <c r="Q33" i="6" s="1"/>
  <c r="J32" i="8"/>
  <c r="L32" i="8" s="1"/>
  <c r="Q32" i="8" s="1"/>
  <c r="S32" i="8" s="1"/>
  <c r="I33" i="16"/>
  <c r="J33" i="16" s="1"/>
  <c r="L33" i="16" s="1"/>
  <c r="Q33" i="16" s="1"/>
  <c r="L27" i="6"/>
  <c r="R27" i="6" s="1"/>
  <c r="S27" i="6" s="1"/>
  <c r="I27" i="8"/>
  <c r="J27" i="8" s="1"/>
  <c r="L27" i="8" s="1"/>
  <c r="Q27" i="8" s="1"/>
  <c r="S27" i="8" s="1"/>
  <c r="I42" i="4"/>
  <c r="J42" i="4" s="1"/>
  <c r="L42" i="4" s="1"/>
  <c r="R42" i="4" s="1"/>
  <c r="S42" i="4" s="1"/>
  <c r="I44" i="1"/>
  <c r="I28" i="16"/>
  <c r="J28" i="16" s="1"/>
  <c r="L28" i="16" s="1"/>
  <c r="Q28" i="16" s="1"/>
  <c r="L45" i="17"/>
  <c r="R45" i="17" s="1"/>
  <c r="S45" i="17" s="1"/>
  <c r="I65" i="15"/>
  <c r="J32" i="5"/>
  <c r="L32" i="5" s="1"/>
  <c r="Q32" i="5" s="1"/>
  <c r="S32" i="5" s="1"/>
  <c r="I35" i="8"/>
  <c r="J35" i="8" s="1"/>
  <c r="I65" i="17"/>
  <c r="J65" i="17" s="1"/>
  <c r="L65" i="17" s="1"/>
  <c r="R65" i="17" s="1"/>
  <c r="S65" i="17" s="1"/>
  <c r="I45" i="15"/>
  <c r="I44" i="4"/>
  <c r="J44" i="4" s="1"/>
  <c r="L44" i="4" s="1"/>
  <c r="Q44" i="4" s="1"/>
  <c r="S44" i="4" s="1"/>
  <c r="I29" i="8"/>
  <c r="J29" i="8" s="1"/>
  <c r="L29" i="8" s="1"/>
  <c r="I47" i="17"/>
  <c r="J47" i="17" s="1"/>
  <c r="L47" i="17" s="1"/>
  <c r="R47" i="17" s="1"/>
  <c r="S47" i="17" s="1"/>
  <c r="I30" i="6"/>
  <c r="J30" i="6" s="1"/>
  <c r="L30" i="6" s="1"/>
  <c r="R30" i="6" s="1"/>
  <c r="S30" i="6" s="1"/>
  <c r="I30" i="9"/>
  <c r="J30" i="9" s="1"/>
  <c r="I30" i="16"/>
  <c r="J30" i="16" s="1"/>
  <c r="L30" i="16" s="1"/>
  <c r="R30" i="16" s="1"/>
  <c r="S30" i="16" s="1"/>
  <c r="I50" i="1"/>
  <c r="J50" i="1" s="1"/>
  <c r="L50" i="1" s="1"/>
  <c r="Q50" i="1" s="1"/>
  <c r="S50" i="1" s="1"/>
  <c r="I31" i="6"/>
  <c r="J31" i="6" s="1"/>
  <c r="L31" i="6" s="1"/>
  <c r="Q31" i="6" s="1"/>
  <c r="I51" i="15"/>
  <c r="J51" i="15" s="1"/>
  <c r="L51" i="15" s="1"/>
  <c r="Q51" i="15" s="1"/>
  <c r="S51" i="15" s="1"/>
  <c r="I31" i="5"/>
  <c r="J31" i="5" s="1"/>
  <c r="L31" i="5" s="1"/>
  <c r="Q31" i="5" s="1"/>
  <c r="S31" i="5" s="1"/>
  <c r="I53" i="15"/>
  <c r="J53" i="15" s="1"/>
  <c r="L53" i="15" s="1"/>
  <c r="Q53" i="15" s="1"/>
  <c r="S53" i="15" s="1"/>
  <c r="I34" i="6"/>
  <c r="J34" i="6" s="1"/>
  <c r="L34" i="6" s="1"/>
  <c r="Q34" i="6" s="1"/>
  <c r="I34" i="3"/>
  <c r="J34" i="3" s="1"/>
  <c r="I35" i="6"/>
  <c r="J35" i="6" s="1"/>
  <c r="I35" i="18"/>
  <c r="J35" i="18" s="1"/>
  <c r="L35" i="18" s="1"/>
  <c r="Q35" i="18" s="1"/>
  <c r="S35" i="18" s="1"/>
  <c r="I37" i="8"/>
  <c r="J37" i="8" s="1"/>
  <c r="I34" i="8"/>
  <c r="J34" i="8" s="1"/>
  <c r="L34" i="8" s="1"/>
  <c r="Q34" i="8" s="1"/>
  <c r="S34" i="8" s="1"/>
  <c r="I60" i="1"/>
  <c r="J60" i="1" s="1"/>
  <c r="L60" i="1" s="1"/>
  <c r="R60" i="1" s="1"/>
  <c r="S60" i="1" s="1"/>
  <c r="I64" i="1"/>
  <c r="J64" i="1" s="1"/>
  <c r="L64" i="1" s="1"/>
  <c r="R64" i="1" s="1"/>
  <c r="I46" i="1"/>
  <c r="J46" i="1" s="1"/>
  <c r="L46" i="1" s="1"/>
  <c r="R46" i="1" s="1"/>
  <c r="S46" i="1" s="1"/>
  <c r="I47" i="15"/>
  <c r="J47" i="15" s="1"/>
  <c r="L47" i="15" s="1"/>
  <c r="Q47" i="15" s="1"/>
  <c r="S47" i="15" s="1"/>
  <c r="I29" i="3"/>
  <c r="J29" i="3" s="1"/>
  <c r="L29" i="3" s="1"/>
  <c r="Q29" i="3" s="1"/>
  <c r="S29" i="3" s="1"/>
  <c r="I48" i="4"/>
  <c r="J48" i="4" s="1"/>
  <c r="L48" i="4" s="1"/>
  <c r="Q48" i="4" s="1"/>
  <c r="S48" i="4" s="1"/>
  <c r="I33" i="14"/>
  <c r="J33" i="14" s="1"/>
  <c r="L33" i="14" s="1"/>
  <c r="Q33" i="14" s="1"/>
  <c r="I34" i="18"/>
  <c r="J34" i="18" s="1"/>
  <c r="L34" i="18" s="1"/>
  <c r="R34" i="18" s="1"/>
  <c r="I34" i="5"/>
  <c r="J34" i="5" s="1"/>
  <c r="L34" i="5" s="1"/>
  <c r="Q34" i="5" s="1"/>
  <c r="S34" i="5" s="1"/>
  <c r="I35" i="16"/>
  <c r="J35" i="16" s="1"/>
  <c r="L35" i="16" s="1"/>
  <c r="Q35" i="16" s="1"/>
  <c r="I62" i="4"/>
  <c r="J62" i="4" s="1"/>
  <c r="I37" i="16"/>
  <c r="J37" i="16" s="1"/>
  <c r="L37" i="16" s="1"/>
  <c r="Q37" i="16" s="1"/>
  <c r="I38" i="18"/>
  <c r="J38" i="18" s="1"/>
  <c r="L38" i="18" s="1"/>
  <c r="R38" i="18" s="1"/>
  <c r="L43" i="15"/>
  <c r="J65" i="15"/>
  <c r="L65" i="15" s="1"/>
  <c r="R65" i="15" s="1"/>
  <c r="S65" i="15" s="1"/>
  <c r="I64" i="4"/>
  <c r="J64" i="4" s="1"/>
  <c r="L64" i="4" s="1"/>
  <c r="R64" i="4" s="1"/>
  <c r="S64" i="4" s="1"/>
  <c r="I63" i="17"/>
  <c r="J63" i="17" s="1"/>
  <c r="L63" i="17" s="1"/>
  <c r="R63" i="17" s="1"/>
  <c r="S63" i="17" s="1"/>
  <c r="I63" i="15"/>
  <c r="J63" i="15" s="1"/>
  <c r="L63" i="15" s="1"/>
  <c r="Q63" i="15" s="1"/>
  <c r="S63" i="15" s="1"/>
  <c r="I36" i="5"/>
  <c r="J36" i="5" s="1"/>
  <c r="L36" i="5" s="1"/>
  <c r="Q36" i="5" s="1"/>
  <c r="S36" i="5" s="1"/>
  <c r="I36" i="3"/>
  <c r="J36" i="3" s="1"/>
  <c r="I62" i="1"/>
  <c r="J62" i="1" s="1"/>
  <c r="L62" i="1" s="1"/>
  <c r="Q62" i="1" s="1"/>
  <c r="S62" i="1" s="1"/>
  <c r="I61" i="17"/>
  <c r="J61" i="17" s="1"/>
  <c r="L61" i="17" s="1"/>
  <c r="R61" i="17" s="1"/>
  <c r="S61" i="17" s="1"/>
  <c r="I61" i="15"/>
  <c r="J61" i="15" s="1"/>
  <c r="L61" i="15" s="1"/>
  <c r="R61" i="15" s="1"/>
  <c r="S61" i="15" s="1"/>
  <c r="I36" i="14"/>
  <c r="J36" i="14" s="1"/>
  <c r="L36" i="14" s="1"/>
  <c r="R36" i="14" s="1"/>
  <c r="S36" i="14" s="1"/>
  <c r="I36" i="8"/>
  <c r="J36" i="8" s="1"/>
  <c r="L36" i="8" s="1"/>
  <c r="R36" i="8" s="1"/>
  <c r="I36" i="6"/>
  <c r="J36" i="6" s="1"/>
  <c r="Q37" i="6" s="1"/>
  <c r="I60" i="4"/>
  <c r="J60" i="4" s="1"/>
  <c r="I59" i="17"/>
  <c r="J59" i="17" s="1"/>
  <c r="I59" i="15"/>
  <c r="J59" i="15" s="1"/>
  <c r="L59" i="15" s="1"/>
  <c r="Q59" i="15" s="1"/>
  <c r="S59" i="15" s="1"/>
  <c r="I58" i="1"/>
  <c r="J58" i="1" s="1"/>
  <c r="L58" i="1" s="1"/>
  <c r="Q58" i="1" s="1"/>
  <c r="J57" i="15"/>
  <c r="L57" i="15" s="1"/>
  <c r="Q57" i="15" s="1"/>
  <c r="I34" i="14"/>
  <c r="J34" i="14" s="1"/>
  <c r="L34" i="14" s="1"/>
  <c r="Q34" i="14" s="1"/>
  <c r="I34" i="9"/>
  <c r="J34" i="9" s="1"/>
  <c r="I56" i="4"/>
  <c r="J56" i="4" s="1"/>
  <c r="J55" i="15"/>
  <c r="L55" i="15" s="1"/>
  <c r="R55" i="15" s="1"/>
  <c r="S55" i="15" s="1"/>
  <c r="J54" i="1"/>
  <c r="L54" i="1" s="1"/>
  <c r="R54" i="1" s="1"/>
  <c r="R56" i="1" s="1"/>
  <c r="J52" i="1"/>
  <c r="L52" i="1" s="1"/>
  <c r="L32" i="14"/>
  <c r="R32" i="14" s="1"/>
  <c r="S32" i="14" s="1"/>
  <c r="L31" i="14"/>
  <c r="R31" i="14" s="1"/>
  <c r="S31" i="14" s="1"/>
  <c r="L30" i="14"/>
  <c r="Q30" i="14" s="1"/>
  <c r="J49" i="15"/>
  <c r="R28" i="9"/>
  <c r="S28" i="9" s="1"/>
  <c r="I43" i="17"/>
  <c r="J43" i="17" s="1"/>
  <c r="I27" i="5"/>
  <c r="P66" i="1"/>
  <c r="Q29" i="8"/>
  <c r="S29" i="8" s="1"/>
  <c r="I27" i="16"/>
  <c r="J27" i="16" s="1"/>
  <c r="I28" i="14"/>
  <c r="J28" i="14" s="1"/>
  <c r="I27" i="9"/>
  <c r="J27" i="9" s="1"/>
  <c r="I42" i="1"/>
  <c r="J42" i="1" s="1"/>
  <c r="S64" i="1"/>
  <c r="J56" i="1"/>
  <c r="L56" i="1" s="1"/>
  <c r="Q51" i="17"/>
  <c r="Q26" i="5"/>
  <c r="S26" i="5" s="1"/>
  <c r="Q28" i="5"/>
  <c r="S28" i="5" s="1"/>
  <c r="L33" i="5"/>
  <c r="Q33" i="5" s="1"/>
  <c r="S33" i="5" s="1"/>
  <c r="Q30" i="5"/>
  <c r="S30" i="5" s="1"/>
  <c r="L51" i="18" l="1"/>
  <c r="J52" i="18"/>
  <c r="R39" i="18"/>
  <c r="S49" i="18"/>
  <c r="J32" i="3"/>
  <c r="L32" i="3" s="1"/>
  <c r="R32" i="3" s="1"/>
  <c r="S32" i="3" s="1"/>
  <c r="L31" i="3"/>
  <c r="Q31" i="3" s="1"/>
  <c r="S31" i="3" s="1"/>
  <c r="R39" i="14"/>
  <c r="R40" i="18"/>
  <c r="R66" i="4"/>
  <c r="S54" i="1"/>
  <c r="S56" i="1" s="1"/>
  <c r="L27" i="9"/>
  <c r="R27" i="9" s="1"/>
  <c r="S27" i="9" s="1"/>
  <c r="R40" i="8"/>
  <c r="J45" i="15"/>
  <c r="L45" i="15"/>
  <c r="L67" i="15" s="1"/>
  <c r="R39" i="8"/>
  <c r="R43" i="15"/>
  <c r="S43" i="15" s="1"/>
  <c r="L39" i="18"/>
  <c r="R39" i="5"/>
  <c r="R43" i="17"/>
  <c r="S43" i="17" s="1"/>
  <c r="L43" i="17"/>
  <c r="R40" i="14"/>
  <c r="L42" i="1"/>
  <c r="R42" i="1" s="1"/>
  <c r="L27" i="16"/>
  <c r="R27" i="16" s="1"/>
  <c r="S27" i="16" s="1"/>
  <c r="R68" i="15"/>
  <c r="L34" i="9"/>
  <c r="Q34" i="9" s="1"/>
  <c r="L59" i="17"/>
  <c r="Q59" i="17" s="1"/>
  <c r="R68" i="17" s="1"/>
  <c r="L36" i="6"/>
  <c r="Q36" i="6" s="1"/>
  <c r="L35" i="6"/>
  <c r="Q35" i="6" s="1"/>
  <c r="J44" i="1"/>
  <c r="L44" i="1" s="1"/>
  <c r="Q44" i="1" s="1"/>
  <c r="S44" i="1" s="1"/>
  <c r="R39" i="6"/>
  <c r="L60" i="4"/>
  <c r="R60" i="4" s="1"/>
  <c r="S60" i="4" s="1"/>
  <c r="L62" i="4"/>
  <c r="Q62" i="4" s="1"/>
  <c r="S62" i="4" s="1"/>
  <c r="L35" i="9"/>
  <c r="Q35" i="9" s="1"/>
  <c r="L34" i="16"/>
  <c r="L56" i="4"/>
  <c r="Q56" i="4" s="1"/>
  <c r="S56" i="4" s="1"/>
  <c r="Q31" i="9"/>
  <c r="J27" i="5"/>
  <c r="L27" i="5" s="1"/>
  <c r="L38" i="5" s="1"/>
  <c r="Q56" i="1"/>
  <c r="R67" i="1" s="1"/>
  <c r="L39" i="8"/>
  <c r="O39" i="4"/>
  <c r="O23" i="16"/>
  <c r="O39" i="17"/>
  <c r="O23" i="9"/>
  <c r="Q22" i="9"/>
  <c r="S22" i="9" s="1"/>
  <c r="Q21" i="9"/>
  <c r="S21" i="9" s="1"/>
  <c r="Q20" i="9"/>
  <c r="Q19" i="9"/>
  <c r="S19" i="9" s="1"/>
  <c r="Q14" i="9"/>
  <c r="S14" i="9" s="1"/>
  <c r="Q11" i="9"/>
  <c r="S11" i="9" s="1"/>
  <c r="Q22" i="8"/>
  <c r="S22" i="8" s="1"/>
  <c r="Q17" i="8"/>
  <c r="S17" i="8" s="1"/>
  <c r="Q15" i="8"/>
  <c r="S15" i="8" s="1"/>
  <c r="Q12" i="8"/>
  <c r="S12" i="8" s="1"/>
  <c r="O23" i="8"/>
  <c r="O40" i="1"/>
  <c r="O23" i="6"/>
  <c r="P11" i="6"/>
  <c r="O23" i="5"/>
  <c r="P11" i="5"/>
  <c r="O23" i="3"/>
  <c r="Q15" i="3"/>
  <c r="S15" i="3" s="1"/>
  <c r="Q12" i="3"/>
  <c r="S12" i="3" s="1"/>
  <c r="Q12" i="18"/>
  <c r="S12" i="18" s="1"/>
  <c r="O23" i="14"/>
  <c r="O23" i="18"/>
  <c r="Q22" i="18"/>
  <c r="S22" i="18" s="1"/>
  <c r="Q19" i="18"/>
  <c r="S19" i="18" s="1"/>
  <c r="Q18" i="18"/>
  <c r="S18" i="18" s="1"/>
  <c r="Q17" i="18"/>
  <c r="S17" i="18" s="1"/>
  <c r="S20" i="18" s="1"/>
  <c r="Q16" i="18"/>
  <c r="S16" i="18" s="1"/>
  <c r="Q22" i="14"/>
  <c r="S22" i="14" s="1"/>
  <c r="Q21" i="14"/>
  <c r="S21" i="14" s="1"/>
  <c r="Q20" i="14"/>
  <c r="Q17" i="14"/>
  <c r="S17" i="14" s="1"/>
  <c r="Q16" i="14"/>
  <c r="S16" i="14" s="1"/>
  <c r="Q14" i="14"/>
  <c r="S14" i="14" s="1"/>
  <c r="Q13" i="14"/>
  <c r="S13" i="14" s="1"/>
  <c r="Q12" i="14"/>
  <c r="S12" i="14" s="1"/>
  <c r="Q11" i="14"/>
  <c r="S11" i="14" s="1"/>
  <c r="S27" i="15"/>
  <c r="S17" i="15"/>
  <c r="O39" i="15"/>
  <c r="G37" i="4"/>
  <c r="H22" i="16"/>
  <c r="G22" i="16"/>
  <c r="H37" i="17"/>
  <c r="G37" i="17"/>
  <c r="H22" i="9"/>
  <c r="G22" i="9"/>
  <c r="G22" i="8"/>
  <c r="G38" i="1"/>
  <c r="G22" i="6"/>
  <c r="G22" i="5"/>
  <c r="G22" i="3"/>
  <c r="H22" i="3"/>
  <c r="H22" i="18"/>
  <c r="G22" i="18"/>
  <c r="G22" i="14"/>
  <c r="H37" i="15"/>
  <c r="G37" i="15"/>
  <c r="G35" i="4"/>
  <c r="H21" i="16"/>
  <c r="G21" i="16"/>
  <c r="H35" i="17"/>
  <c r="G35" i="17"/>
  <c r="H21" i="9"/>
  <c r="G21" i="9"/>
  <c r="G21" i="8"/>
  <c r="G36" i="1"/>
  <c r="G21" i="6"/>
  <c r="G21" i="5"/>
  <c r="G21" i="3"/>
  <c r="H21" i="3"/>
  <c r="H21" i="18"/>
  <c r="G21" i="18"/>
  <c r="G21" i="14"/>
  <c r="H35" i="15"/>
  <c r="G35" i="15"/>
  <c r="G33" i="4"/>
  <c r="H20" i="16"/>
  <c r="G20" i="16"/>
  <c r="H33" i="17"/>
  <c r="G33" i="17"/>
  <c r="H20" i="9"/>
  <c r="G20" i="9"/>
  <c r="G20" i="8"/>
  <c r="G34" i="1"/>
  <c r="G20" i="6"/>
  <c r="G20" i="5"/>
  <c r="G20" i="3"/>
  <c r="H20" i="3"/>
  <c r="H20" i="18"/>
  <c r="G20" i="18"/>
  <c r="G20" i="14"/>
  <c r="H33" i="15"/>
  <c r="G33" i="15"/>
  <c r="F31" i="4"/>
  <c r="G31" i="4"/>
  <c r="H19" i="16"/>
  <c r="G19" i="16"/>
  <c r="H31" i="17"/>
  <c r="G31" i="17"/>
  <c r="H19" i="9"/>
  <c r="G19" i="9"/>
  <c r="G19" i="8"/>
  <c r="G32" i="1"/>
  <c r="G19" i="6"/>
  <c r="G19" i="5"/>
  <c r="H19" i="3"/>
  <c r="G19" i="3"/>
  <c r="H19" i="18"/>
  <c r="G19" i="18"/>
  <c r="G19" i="14"/>
  <c r="H31" i="15"/>
  <c r="G31" i="15"/>
  <c r="G29" i="4"/>
  <c r="H18" i="16"/>
  <c r="G18" i="16"/>
  <c r="H29" i="17"/>
  <c r="G29" i="17"/>
  <c r="H18" i="9"/>
  <c r="G18" i="9"/>
  <c r="G18" i="8"/>
  <c r="G30" i="1"/>
  <c r="G18" i="6"/>
  <c r="G18" i="5"/>
  <c r="G18" i="3"/>
  <c r="H18" i="18"/>
  <c r="G18" i="18"/>
  <c r="G18" i="14"/>
  <c r="H29" i="15"/>
  <c r="G29" i="15"/>
  <c r="F27" i="4"/>
  <c r="G27" i="4"/>
  <c r="H17" i="16"/>
  <c r="G17" i="16"/>
  <c r="G27" i="17"/>
  <c r="H27" i="17"/>
  <c r="H17" i="9"/>
  <c r="G17" i="9"/>
  <c r="G17" i="8"/>
  <c r="G28" i="1"/>
  <c r="G17" i="6"/>
  <c r="G17" i="5"/>
  <c r="G17" i="3"/>
  <c r="G17" i="18"/>
  <c r="H17" i="18"/>
  <c r="G17" i="14"/>
  <c r="H27" i="15"/>
  <c r="G27" i="15"/>
  <c r="G25" i="4"/>
  <c r="H25" i="4"/>
  <c r="H27" i="4"/>
  <c r="H29" i="4"/>
  <c r="H31" i="4"/>
  <c r="H33" i="4"/>
  <c r="H35" i="4"/>
  <c r="H37" i="4"/>
  <c r="H16" i="16"/>
  <c r="G16" i="16"/>
  <c r="H25" i="17"/>
  <c r="G25" i="17"/>
  <c r="H16" i="9"/>
  <c r="G16" i="9"/>
  <c r="G16" i="8"/>
  <c r="G26" i="1"/>
  <c r="G16" i="6"/>
  <c r="G16" i="5"/>
  <c r="H16" i="5"/>
  <c r="H17" i="5"/>
  <c r="H18" i="5"/>
  <c r="H19" i="5"/>
  <c r="H20" i="5"/>
  <c r="H21" i="5"/>
  <c r="H22" i="5"/>
  <c r="G16" i="3"/>
  <c r="H16" i="3"/>
  <c r="H17" i="3"/>
  <c r="H18" i="3"/>
  <c r="H16" i="18"/>
  <c r="G16" i="18"/>
  <c r="G16" i="14"/>
  <c r="H25" i="15"/>
  <c r="G25" i="15"/>
  <c r="Q51" i="18" l="1"/>
  <c r="J53" i="18"/>
  <c r="L53" i="18" s="1"/>
  <c r="Q53" i="18" s="1"/>
  <c r="S53" i="18" s="1"/>
  <c r="L52" i="18"/>
  <c r="Q52" i="18" s="1"/>
  <c r="S52" i="18" s="1"/>
  <c r="Q45" i="15"/>
  <c r="S45" i="15" s="1"/>
  <c r="S67" i="15" s="1"/>
  <c r="R68" i="4"/>
  <c r="R40" i="6"/>
  <c r="R40" i="9"/>
  <c r="R39" i="16"/>
  <c r="S42" i="1"/>
  <c r="R39" i="9"/>
  <c r="L67" i="17"/>
  <c r="O68" i="17" s="1"/>
  <c r="L39" i="16"/>
  <c r="Q34" i="16"/>
  <c r="R40" i="16" s="1"/>
  <c r="R38" i="3"/>
  <c r="R67" i="15"/>
  <c r="L39" i="6"/>
  <c r="R67" i="4"/>
  <c r="S66" i="4"/>
  <c r="L66" i="1"/>
  <c r="L67" i="1" s="1"/>
  <c r="R67" i="17"/>
  <c r="L33" i="3"/>
  <c r="Q52" i="1"/>
  <c r="S52" i="1" s="1"/>
  <c r="L39" i="9"/>
  <c r="Q27" i="5"/>
  <c r="L39" i="14"/>
  <c r="L66" i="4"/>
  <c r="L67" i="4" s="1"/>
  <c r="I31" i="4"/>
  <c r="J31" i="4" s="1"/>
  <c r="H23" i="4"/>
  <c r="G23" i="4"/>
  <c r="I23" i="4" s="1"/>
  <c r="J23" i="4" s="1"/>
  <c r="H15" i="16"/>
  <c r="G15" i="16"/>
  <c r="I15" i="16" s="1"/>
  <c r="H23" i="17"/>
  <c r="G23" i="17"/>
  <c r="H15" i="9"/>
  <c r="G15" i="9"/>
  <c r="H15" i="8"/>
  <c r="H16" i="8"/>
  <c r="I16" i="8" s="1"/>
  <c r="H17" i="8"/>
  <c r="I17" i="8" s="1"/>
  <c r="J17" i="8" s="1"/>
  <c r="H18" i="8"/>
  <c r="I18" i="8" s="1"/>
  <c r="H19" i="8"/>
  <c r="H20" i="8"/>
  <c r="I20" i="8" s="1"/>
  <c r="J20" i="8" s="1"/>
  <c r="H21" i="8"/>
  <c r="I21" i="8" s="1"/>
  <c r="J21" i="8" s="1"/>
  <c r="H22" i="8"/>
  <c r="I22" i="8" s="1"/>
  <c r="J22" i="8" s="1"/>
  <c r="G15" i="8"/>
  <c r="H38" i="1"/>
  <c r="H36" i="1"/>
  <c r="H34" i="1"/>
  <c r="H32" i="1"/>
  <c r="H30" i="1"/>
  <c r="H28" i="1"/>
  <c r="H26" i="1"/>
  <c r="H24" i="1"/>
  <c r="G24" i="1"/>
  <c r="H16" i="6"/>
  <c r="H17" i="6"/>
  <c r="I17" i="6" s="1"/>
  <c r="H18" i="6"/>
  <c r="H19" i="6"/>
  <c r="I19" i="6" s="1"/>
  <c r="H20" i="6"/>
  <c r="H21" i="6"/>
  <c r="I21" i="6" s="1"/>
  <c r="J21" i="6" s="1"/>
  <c r="L21" i="6" s="1"/>
  <c r="Q21" i="6" s="1"/>
  <c r="S21" i="6" s="1"/>
  <c r="H22" i="6"/>
  <c r="I22" i="6" s="1"/>
  <c r="J22" i="6" s="1"/>
  <c r="L22" i="6" s="1"/>
  <c r="Q22" i="6" s="1"/>
  <c r="S22" i="6" s="1"/>
  <c r="H15" i="6"/>
  <c r="G15" i="6"/>
  <c r="H15" i="5"/>
  <c r="G15" i="5"/>
  <c r="G15" i="3"/>
  <c r="H15" i="3"/>
  <c r="H15" i="18"/>
  <c r="G15" i="18"/>
  <c r="G15" i="14"/>
  <c r="I15" i="14" s="1"/>
  <c r="H23" i="15"/>
  <c r="G23" i="15"/>
  <c r="H21" i="4"/>
  <c r="G21" i="4"/>
  <c r="H14" i="16"/>
  <c r="G14" i="16"/>
  <c r="H21" i="17"/>
  <c r="G21" i="17"/>
  <c r="H14" i="9"/>
  <c r="G14" i="9"/>
  <c r="H14" i="8"/>
  <c r="G14" i="8"/>
  <c r="H22" i="1"/>
  <c r="G22" i="1"/>
  <c r="I22" i="1" s="1"/>
  <c r="J22" i="1" s="1"/>
  <c r="L22" i="1" s="1"/>
  <c r="Q22" i="1" s="1"/>
  <c r="S22" i="1" s="1"/>
  <c r="H14" i="6"/>
  <c r="G14" i="6"/>
  <c r="I14" i="6" s="1"/>
  <c r="J14" i="6" s="1"/>
  <c r="L14" i="6" s="1"/>
  <c r="Q14" i="6" s="1"/>
  <c r="S14" i="6" s="1"/>
  <c r="H14" i="5"/>
  <c r="G14" i="5"/>
  <c r="H14" i="3"/>
  <c r="G14" i="3"/>
  <c r="H14" i="18"/>
  <c r="G14" i="18"/>
  <c r="G14" i="14"/>
  <c r="H21" i="15"/>
  <c r="G21" i="15"/>
  <c r="H19" i="4"/>
  <c r="G19" i="4"/>
  <c r="H13" i="16"/>
  <c r="G13" i="16"/>
  <c r="H19" i="17"/>
  <c r="G19" i="17"/>
  <c r="H13" i="9"/>
  <c r="G13" i="9"/>
  <c r="H13" i="8"/>
  <c r="G13" i="8"/>
  <c r="H20" i="1"/>
  <c r="G20" i="1"/>
  <c r="G13" i="6"/>
  <c r="H13" i="6"/>
  <c r="H13" i="5"/>
  <c r="G13" i="5"/>
  <c r="H13" i="3"/>
  <c r="G13" i="3"/>
  <c r="H13" i="18"/>
  <c r="G13" i="18"/>
  <c r="H22" i="14"/>
  <c r="I22" i="14" s="1"/>
  <c r="H21" i="14"/>
  <c r="I21" i="14" s="1"/>
  <c r="H20" i="14"/>
  <c r="I20" i="14" s="1"/>
  <c r="J20" i="14" s="1"/>
  <c r="H19" i="14"/>
  <c r="H18" i="14"/>
  <c r="I18" i="14" s="1"/>
  <c r="H17" i="14"/>
  <c r="I17" i="14" s="1"/>
  <c r="H16" i="14"/>
  <c r="I16" i="14" s="1"/>
  <c r="J16" i="14" s="1"/>
  <c r="H15" i="14"/>
  <c r="H14" i="14"/>
  <c r="H13" i="14"/>
  <c r="G13" i="14"/>
  <c r="I13" i="14" s="1"/>
  <c r="H19" i="15"/>
  <c r="G19" i="15"/>
  <c r="H17" i="4"/>
  <c r="G17" i="4"/>
  <c r="H12" i="16"/>
  <c r="G12" i="16"/>
  <c r="H17" i="17"/>
  <c r="G17" i="17"/>
  <c r="H12" i="9"/>
  <c r="G12" i="9"/>
  <c r="H12" i="8"/>
  <c r="G12" i="8"/>
  <c r="H18" i="1"/>
  <c r="G18" i="1"/>
  <c r="H12" i="6"/>
  <c r="G12" i="6"/>
  <c r="H12" i="5"/>
  <c r="G12" i="5"/>
  <c r="H12" i="3"/>
  <c r="G12" i="3"/>
  <c r="H12" i="18"/>
  <c r="G12" i="18"/>
  <c r="H12" i="14"/>
  <c r="G12" i="14"/>
  <c r="I12" i="14" s="1"/>
  <c r="H17" i="15"/>
  <c r="G17" i="15"/>
  <c r="G15" i="4"/>
  <c r="H15" i="4"/>
  <c r="H11" i="16"/>
  <c r="G11" i="16"/>
  <c r="H15" i="17"/>
  <c r="G15" i="17"/>
  <c r="H11" i="9"/>
  <c r="G11" i="9"/>
  <c r="H11" i="8"/>
  <c r="G11" i="8"/>
  <c r="H16" i="1"/>
  <c r="G16" i="1"/>
  <c r="H11" i="6"/>
  <c r="G11" i="6"/>
  <c r="H11" i="5"/>
  <c r="G11" i="5"/>
  <c r="I11" i="5" s="1"/>
  <c r="J11" i="5" s="1"/>
  <c r="L11" i="5" s="1"/>
  <c r="H11" i="3"/>
  <c r="G11" i="3"/>
  <c r="H11" i="18"/>
  <c r="G11" i="18"/>
  <c r="G11" i="14"/>
  <c r="H11" i="14"/>
  <c r="I11" i="14" s="1"/>
  <c r="J11" i="14" s="1"/>
  <c r="L11" i="14" s="1"/>
  <c r="H15" i="15"/>
  <c r="G15" i="15"/>
  <c r="F37" i="17"/>
  <c r="F37" i="15"/>
  <c r="I37" i="15" s="1"/>
  <c r="J37" i="15" s="1"/>
  <c r="F37" i="4"/>
  <c r="I37" i="4" s="1"/>
  <c r="J37" i="4" s="1"/>
  <c r="L37" i="4" s="1"/>
  <c r="Q37" i="4" s="1"/>
  <c r="S37" i="4" s="1"/>
  <c r="F38" i="1"/>
  <c r="F35" i="17"/>
  <c r="F35" i="15"/>
  <c r="I35" i="15" s="1"/>
  <c r="J35" i="15" s="1"/>
  <c r="F35" i="4"/>
  <c r="I35" i="4" s="1"/>
  <c r="F36" i="1"/>
  <c r="I36" i="1" s="1"/>
  <c r="J36" i="1" s="1"/>
  <c r="L36" i="1" s="1"/>
  <c r="Q36" i="1" s="1"/>
  <c r="S36" i="1" s="1"/>
  <c r="F33" i="17"/>
  <c r="F33" i="15"/>
  <c r="I33" i="15" s="1"/>
  <c r="J33" i="15" s="1"/>
  <c r="L33" i="15" s="1"/>
  <c r="Q33" i="15" s="1"/>
  <c r="S33" i="15" s="1"/>
  <c r="F33" i="4"/>
  <c r="F34" i="1"/>
  <c r="I34" i="1" s="1"/>
  <c r="J34" i="1" s="1"/>
  <c r="L34" i="1" s="1"/>
  <c r="Q34" i="1" s="1"/>
  <c r="S34" i="1" s="1"/>
  <c r="F31" i="17"/>
  <c r="I31" i="17" s="1"/>
  <c r="J31" i="17" s="1"/>
  <c r="F31" i="15"/>
  <c r="I31" i="15" s="1"/>
  <c r="J31" i="15" s="1"/>
  <c r="F32" i="1"/>
  <c r="F29" i="17"/>
  <c r="I29" i="17" s="1"/>
  <c r="F29" i="15"/>
  <c r="I29" i="15" s="1"/>
  <c r="F29" i="4"/>
  <c r="I29" i="4" s="1"/>
  <c r="F30" i="1"/>
  <c r="F27" i="17"/>
  <c r="F27" i="15"/>
  <c r="I27" i="15" s="1"/>
  <c r="J27" i="15" s="1"/>
  <c r="F28" i="1"/>
  <c r="F25" i="17"/>
  <c r="I25" i="17" s="1"/>
  <c r="J25" i="17" s="1"/>
  <c r="L25" i="17" s="1"/>
  <c r="Q25" i="17" s="1"/>
  <c r="S25" i="17" s="1"/>
  <c r="F25" i="15"/>
  <c r="I25" i="15" s="1"/>
  <c r="J25" i="15" s="1"/>
  <c r="L25" i="15" s="1"/>
  <c r="Q25" i="15" s="1"/>
  <c r="S25" i="15" s="1"/>
  <c r="F25" i="4"/>
  <c r="F26" i="1"/>
  <c r="F23" i="17"/>
  <c r="F23" i="15"/>
  <c r="F23" i="4"/>
  <c r="F24" i="1"/>
  <c r="F21" i="17"/>
  <c r="F21" i="15"/>
  <c r="F21" i="4"/>
  <c r="F22" i="1"/>
  <c r="F19" i="17"/>
  <c r="F19" i="15"/>
  <c r="F19" i="4"/>
  <c r="F20" i="1"/>
  <c r="F17" i="17"/>
  <c r="F17" i="15"/>
  <c r="I17" i="15" s="1"/>
  <c r="J17" i="15" s="1"/>
  <c r="L17" i="15" s="1"/>
  <c r="F17" i="4"/>
  <c r="F18" i="1"/>
  <c r="F15" i="17"/>
  <c r="F15" i="15"/>
  <c r="F15" i="4"/>
  <c r="F11" i="3"/>
  <c r="F16" i="1"/>
  <c r="P13" i="17"/>
  <c r="P37" i="17"/>
  <c r="P35" i="17"/>
  <c r="P33" i="17"/>
  <c r="P31" i="17"/>
  <c r="P29" i="17"/>
  <c r="P27" i="17"/>
  <c r="P25" i="17"/>
  <c r="P23" i="17"/>
  <c r="P21" i="17"/>
  <c r="P19" i="17"/>
  <c r="P17" i="17"/>
  <c r="P15" i="17"/>
  <c r="I37" i="17"/>
  <c r="J37" i="17" s="1"/>
  <c r="I35" i="17"/>
  <c r="J35" i="17" s="1"/>
  <c r="I33" i="17"/>
  <c r="J33" i="17" s="1"/>
  <c r="I27" i="17"/>
  <c r="J27" i="17" s="1"/>
  <c r="P27" i="15"/>
  <c r="P37" i="15"/>
  <c r="P35" i="15"/>
  <c r="P33" i="15"/>
  <c r="P31" i="15"/>
  <c r="P29" i="15"/>
  <c r="P25" i="15"/>
  <c r="P23" i="15"/>
  <c r="P21" i="15"/>
  <c r="P19" i="15"/>
  <c r="P17" i="15"/>
  <c r="P13" i="15"/>
  <c r="P15" i="15"/>
  <c r="P38" i="1"/>
  <c r="P36" i="1"/>
  <c r="P34" i="1"/>
  <c r="P32" i="1"/>
  <c r="P30" i="1"/>
  <c r="P28" i="1"/>
  <c r="P26" i="1"/>
  <c r="P24" i="1"/>
  <c r="P22" i="1"/>
  <c r="P20" i="1"/>
  <c r="P18" i="1"/>
  <c r="P16" i="1"/>
  <c r="P37" i="4"/>
  <c r="P35" i="4"/>
  <c r="P33" i="4"/>
  <c r="P31" i="4"/>
  <c r="P29" i="4"/>
  <c r="P27" i="4"/>
  <c r="P25" i="4"/>
  <c r="P23" i="4"/>
  <c r="P21" i="4"/>
  <c r="P19" i="4"/>
  <c r="P17" i="4"/>
  <c r="P15" i="4"/>
  <c r="I25" i="4"/>
  <c r="I27" i="4"/>
  <c r="J27" i="4" s="1"/>
  <c r="I33" i="4"/>
  <c r="P22" i="18"/>
  <c r="I22" i="18"/>
  <c r="J22" i="18" s="1"/>
  <c r="L22" i="18" s="1"/>
  <c r="P21" i="18"/>
  <c r="I21" i="18"/>
  <c r="J21" i="18" s="1"/>
  <c r="L21" i="18" s="1"/>
  <c r="Q21" i="18" s="1"/>
  <c r="S21" i="18" s="1"/>
  <c r="P20" i="18"/>
  <c r="I20" i="18"/>
  <c r="P19" i="18"/>
  <c r="I19" i="18"/>
  <c r="P18" i="18"/>
  <c r="I18" i="18"/>
  <c r="P17" i="18"/>
  <c r="I17" i="18"/>
  <c r="P16" i="18"/>
  <c r="I16" i="18"/>
  <c r="J16" i="18" s="1"/>
  <c r="P15" i="18"/>
  <c r="P14" i="18"/>
  <c r="P13" i="18"/>
  <c r="P12" i="18"/>
  <c r="P11" i="18"/>
  <c r="P22" i="16"/>
  <c r="I22" i="16"/>
  <c r="P21" i="16"/>
  <c r="I21" i="16"/>
  <c r="P20" i="16"/>
  <c r="I20" i="16"/>
  <c r="P19" i="16"/>
  <c r="I19" i="16"/>
  <c r="J19" i="16" s="1"/>
  <c r="P18" i="16"/>
  <c r="I18" i="16"/>
  <c r="P17" i="16"/>
  <c r="I17" i="16"/>
  <c r="J17" i="16" s="1"/>
  <c r="P16" i="16"/>
  <c r="I16" i="16"/>
  <c r="P15" i="16"/>
  <c r="P14" i="16"/>
  <c r="P13" i="16"/>
  <c r="P12" i="16"/>
  <c r="P11" i="16"/>
  <c r="P22" i="14"/>
  <c r="P21" i="14"/>
  <c r="P20" i="14"/>
  <c r="P19" i="14"/>
  <c r="I19" i="14"/>
  <c r="J19" i="14" s="1"/>
  <c r="R19" i="14" s="1"/>
  <c r="S19" i="14" s="1"/>
  <c r="P18" i="14"/>
  <c r="P17" i="14"/>
  <c r="P16" i="14"/>
  <c r="P15" i="14"/>
  <c r="P14" i="14"/>
  <c r="I14" i="14"/>
  <c r="P13" i="14"/>
  <c r="P12" i="14"/>
  <c r="P11" i="14"/>
  <c r="P22" i="9"/>
  <c r="I22" i="9"/>
  <c r="J22" i="9" s="1"/>
  <c r="P21" i="9"/>
  <c r="I21" i="9"/>
  <c r="P20" i="9"/>
  <c r="I20" i="9"/>
  <c r="P19" i="9"/>
  <c r="I19" i="9"/>
  <c r="P18" i="9"/>
  <c r="I18" i="9"/>
  <c r="J18" i="9" s="1"/>
  <c r="P17" i="9"/>
  <c r="I17" i="9"/>
  <c r="P16" i="9"/>
  <c r="I16" i="9"/>
  <c r="J16" i="9" s="1"/>
  <c r="P15" i="9"/>
  <c r="P14" i="9"/>
  <c r="P13" i="9"/>
  <c r="P12" i="9"/>
  <c r="P11" i="9"/>
  <c r="P22" i="8"/>
  <c r="P21" i="8"/>
  <c r="P20" i="8"/>
  <c r="P19" i="8"/>
  <c r="I19" i="8"/>
  <c r="J19" i="8" s="1"/>
  <c r="P18" i="8"/>
  <c r="P17" i="8"/>
  <c r="P16" i="8"/>
  <c r="P15" i="8"/>
  <c r="I15" i="8"/>
  <c r="P14" i="8"/>
  <c r="P13" i="8"/>
  <c r="I13" i="8"/>
  <c r="J13" i="8" s="1"/>
  <c r="L13" i="8" s="1"/>
  <c r="P12" i="8"/>
  <c r="P11" i="8"/>
  <c r="P22" i="6"/>
  <c r="P21" i="6"/>
  <c r="P20" i="6"/>
  <c r="I20" i="6"/>
  <c r="J20" i="6" s="1"/>
  <c r="L20" i="6" s="1"/>
  <c r="R20" i="6" s="1"/>
  <c r="P19" i="6"/>
  <c r="P18" i="6"/>
  <c r="I18" i="6"/>
  <c r="J18" i="6" s="1"/>
  <c r="L18" i="6" s="1"/>
  <c r="Q18" i="6" s="1"/>
  <c r="S18" i="6" s="1"/>
  <c r="P17" i="6"/>
  <c r="P16" i="6"/>
  <c r="I16" i="6"/>
  <c r="J16" i="6" s="1"/>
  <c r="L16" i="6" s="1"/>
  <c r="R16" i="6" s="1"/>
  <c r="S16" i="6" s="1"/>
  <c r="P15" i="6"/>
  <c r="P14" i="6"/>
  <c r="P13" i="6"/>
  <c r="P12" i="6"/>
  <c r="I12" i="6"/>
  <c r="J12" i="6" s="1"/>
  <c r="L12" i="6" s="1"/>
  <c r="Q12" i="6" s="1"/>
  <c r="S12" i="6" s="1"/>
  <c r="P22" i="5"/>
  <c r="I22" i="5"/>
  <c r="J22" i="5" s="1"/>
  <c r="P21" i="5"/>
  <c r="I21" i="5"/>
  <c r="P20" i="5"/>
  <c r="I20" i="5"/>
  <c r="P19" i="5"/>
  <c r="I19" i="5"/>
  <c r="J19" i="5" s="1"/>
  <c r="P18" i="5"/>
  <c r="I18" i="5"/>
  <c r="P17" i="5"/>
  <c r="I17" i="5"/>
  <c r="P16" i="5"/>
  <c r="I16" i="5"/>
  <c r="P15" i="5"/>
  <c r="P14" i="5"/>
  <c r="P13" i="5"/>
  <c r="P12" i="5"/>
  <c r="P9" i="5"/>
  <c r="P22" i="3"/>
  <c r="P21" i="3"/>
  <c r="P20" i="3"/>
  <c r="P19" i="3"/>
  <c r="P18" i="3"/>
  <c r="P17" i="3"/>
  <c r="P16" i="3"/>
  <c r="P15" i="3"/>
  <c r="P14" i="3"/>
  <c r="P13" i="3"/>
  <c r="P12" i="3"/>
  <c r="P11" i="3"/>
  <c r="I22" i="3"/>
  <c r="I21" i="3"/>
  <c r="I20" i="3"/>
  <c r="I19" i="3"/>
  <c r="I18" i="3"/>
  <c r="I17" i="3"/>
  <c r="I16" i="3"/>
  <c r="I26" i="1" l="1"/>
  <c r="I16" i="1"/>
  <c r="J16" i="1" s="1"/>
  <c r="L16" i="1" s="1"/>
  <c r="R16" i="1" s="1"/>
  <c r="I13" i="9"/>
  <c r="J13" i="9" s="1"/>
  <c r="L13" i="9" s="1"/>
  <c r="R13" i="9" s="1"/>
  <c r="S51" i="18"/>
  <c r="S55" i="18" s="1"/>
  <c r="S57" i="18" s="1"/>
  <c r="R55" i="18"/>
  <c r="I19" i="4"/>
  <c r="R38" i="5"/>
  <c r="S27" i="5"/>
  <c r="S38" i="5" s="1"/>
  <c r="I23" i="17"/>
  <c r="J23" i="17" s="1"/>
  <c r="L23" i="17" s="1"/>
  <c r="R23" i="17" s="1"/>
  <c r="S23" i="17" s="1"/>
  <c r="I30" i="1"/>
  <c r="J30" i="1" s="1"/>
  <c r="L30" i="1" s="1"/>
  <c r="R30" i="1" s="1"/>
  <c r="S30" i="1" s="1"/>
  <c r="I11" i="9"/>
  <c r="J11" i="9" s="1"/>
  <c r="I12" i="18"/>
  <c r="I13" i="18"/>
  <c r="I13" i="5"/>
  <c r="I14" i="5"/>
  <c r="I15" i="9"/>
  <c r="S66" i="1"/>
  <c r="R66" i="1"/>
  <c r="J25" i="4"/>
  <c r="L25" i="4" s="1"/>
  <c r="Q25" i="4" s="1"/>
  <c r="S25" i="4" s="1"/>
  <c r="I11" i="6"/>
  <c r="J11" i="6" s="1"/>
  <c r="L11" i="6" s="1"/>
  <c r="Q11" i="6" s="1"/>
  <c r="I11" i="8"/>
  <c r="J11" i="8" s="1"/>
  <c r="I15" i="5"/>
  <c r="Q33" i="3"/>
  <c r="S33" i="3" s="1"/>
  <c r="L68" i="17"/>
  <c r="I38" i="1"/>
  <c r="J38" i="1" s="1"/>
  <c r="L38" i="1" s="1"/>
  <c r="R38" i="1" s="1"/>
  <c r="S38" i="1" s="1"/>
  <c r="L34" i="3"/>
  <c r="Q34" i="3" s="1"/>
  <c r="S34" i="3" s="1"/>
  <c r="I11" i="16"/>
  <c r="I12" i="5"/>
  <c r="J12" i="5" s="1"/>
  <c r="L12" i="5" s="1"/>
  <c r="Q12" i="5" s="1"/>
  <c r="S12" i="5" s="1"/>
  <c r="I12" i="9"/>
  <c r="J12" i="9" s="1"/>
  <c r="I12" i="16"/>
  <c r="J12" i="16" s="1"/>
  <c r="L12" i="16" s="1"/>
  <c r="Q12" i="16" s="1"/>
  <c r="S12" i="16" s="1"/>
  <c r="I13" i="6"/>
  <c r="J13" i="6" s="1"/>
  <c r="L13" i="6" s="1"/>
  <c r="R13" i="6" s="1"/>
  <c r="S13" i="6" s="1"/>
  <c r="I19" i="17"/>
  <c r="J19" i="17" s="1"/>
  <c r="L19" i="17" s="1"/>
  <c r="R19" i="17" s="1"/>
  <c r="S19" i="17" s="1"/>
  <c r="I14" i="18"/>
  <c r="J14" i="18" s="1"/>
  <c r="L14" i="18" s="1"/>
  <c r="Q14" i="18" s="1"/>
  <c r="S14" i="18" s="1"/>
  <c r="I14" i="9"/>
  <c r="J14" i="9" s="1"/>
  <c r="I14" i="16"/>
  <c r="J14" i="16" s="1"/>
  <c r="L14" i="16" s="1"/>
  <c r="Q14" i="16" s="1"/>
  <c r="S14" i="16" s="1"/>
  <c r="I15" i="18"/>
  <c r="J15" i="18" s="1"/>
  <c r="L15" i="18" s="1"/>
  <c r="R15" i="18" s="1"/>
  <c r="S15" i="18" s="1"/>
  <c r="I23" i="15"/>
  <c r="J23" i="15" s="1"/>
  <c r="L23" i="15" s="1"/>
  <c r="R23" i="15" s="1"/>
  <c r="S23" i="15" s="1"/>
  <c r="P23" i="5"/>
  <c r="I12" i="8"/>
  <c r="J12" i="8" s="1"/>
  <c r="I13" i="16"/>
  <c r="I21" i="4"/>
  <c r="J21" i="4" s="1"/>
  <c r="L21" i="4" s="1"/>
  <c r="Q21" i="4" s="1"/>
  <c r="S21" i="4" s="1"/>
  <c r="I15" i="6"/>
  <c r="J15" i="6" s="1"/>
  <c r="L15" i="6" s="1"/>
  <c r="Q15" i="6" s="1"/>
  <c r="S15" i="6" s="1"/>
  <c r="J29" i="4"/>
  <c r="L29" i="4" s="1"/>
  <c r="Q29" i="4" s="1"/>
  <c r="S29" i="4" s="1"/>
  <c r="J21" i="14"/>
  <c r="J22" i="14" s="1"/>
  <c r="L22" i="14" s="1"/>
  <c r="I24" i="1"/>
  <c r="J24" i="1" s="1"/>
  <c r="L24" i="1" s="1"/>
  <c r="Q24" i="1" s="1"/>
  <c r="S24" i="1" s="1"/>
  <c r="I28" i="1"/>
  <c r="J28" i="1" s="1"/>
  <c r="L28" i="1" s="1"/>
  <c r="Q28" i="1" s="1"/>
  <c r="S28" i="1" s="1"/>
  <c r="I20" i="1"/>
  <c r="I32" i="1"/>
  <c r="J32" i="1" s="1"/>
  <c r="L32" i="1" s="1"/>
  <c r="Q32" i="1" s="1"/>
  <c r="S32" i="1" s="1"/>
  <c r="P23" i="18"/>
  <c r="S39" i="16"/>
  <c r="L40" i="16"/>
  <c r="J12" i="14"/>
  <c r="L12" i="14" s="1"/>
  <c r="J17" i="14"/>
  <c r="J18" i="14" s="1"/>
  <c r="L18" i="14" s="1"/>
  <c r="R18" i="14" s="1"/>
  <c r="S18" i="14" s="1"/>
  <c r="J15" i="14"/>
  <c r="L15" i="14" s="1"/>
  <c r="L40" i="14"/>
  <c r="P23" i="14"/>
  <c r="P23" i="9"/>
  <c r="S39" i="8"/>
  <c r="J18" i="8"/>
  <c r="L18" i="8" s="1"/>
  <c r="Q18" i="8" s="1"/>
  <c r="S18" i="8" s="1"/>
  <c r="S20" i="8" s="1"/>
  <c r="L40" i="8"/>
  <c r="L40" i="6"/>
  <c r="J33" i="4"/>
  <c r="J35" i="4" s="1"/>
  <c r="L35" i="4" s="1"/>
  <c r="Q35" i="4" s="1"/>
  <c r="S35" i="4" s="1"/>
  <c r="I15" i="3"/>
  <c r="J15" i="3" s="1"/>
  <c r="J16" i="3" s="1"/>
  <c r="L16" i="3" s="1"/>
  <c r="Q16" i="3" s="1"/>
  <c r="S16" i="3" s="1"/>
  <c r="I12" i="3"/>
  <c r="J12" i="3" s="1"/>
  <c r="L12" i="3" s="1"/>
  <c r="I14" i="3"/>
  <c r="J14" i="3" s="1"/>
  <c r="I11" i="3"/>
  <c r="J11" i="3" s="1"/>
  <c r="L11" i="3" s="1"/>
  <c r="R11" i="3" s="1"/>
  <c r="I13" i="3"/>
  <c r="I11" i="18"/>
  <c r="J11" i="18" s="1"/>
  <c r="L11" i="18" s="1"/>
  <c r="J17" i="18"/>
  <c r="J18" i="18" s="1"/>
  <c r="J29" i="17"/>
  <c r="L29" i="17" s="1"/>
  <c r="R29" i="17" s="1"/>
  <c r="S29" i="17" s="1"/>
  <c r="L19" i="16"/>
  <c r="R19" i="16" s="1"/>
  <c r="S19" i="16" s="1"/>
  <c r="P23" i="16"/>
  <c r="J18" i="16"/>
  <c r="L18" i="16" s="1"/>
  <c r="Q18" i="16" s="1"/>
  <c r="S18" i="16" s="1"/>
  <c r="L16" i="9"/>
  <c r="R16" i="9" s="1"/>
  <c r="S16" i="9" s="1"/>
  <c r="L18" i="9"/>
  <c r="R18" i="9" s="1"/>
  <c r="S18" i="9" s="1"/>
  <c r="R13" i="8"/>
  <c r="S13" i="8" s="1"/>
  <c r="P23" i="8"/>
  <c r="I14" i="8"/>
  <c r="J14" i="8" s="1"/>
  <c r="L14" i="8" s="1"/>
  <c r="Q14" i="8" s="1"/>
  <c r="S14" i="8" s="1"/>
  <c r="P23" i="6"/>
  <c r="Q11" i="5"/>
  <c r="P23" i="3"/>
  <c r="I18" i="1"/>
  <c r="J18" i="1" s="1"/>
  <c r="L18" i="1" s="1"/>
  <c r="Q18" i="1" s="1"/>
  <c r="S18" i="1" s="1"/>
  <c r="I15" i="15"/>
  <c r="J15" i="15" s="1"/>
  <c r="L15" i="15" s="1"/>
  <c r="J29" i="15"/>
  <c r="L29" i="15" s="1"/>
  <c r="R29" i="15" s="1"/>
  <c r="S29" i="15" s="1"/>
  <c r="P39" i="4"/>
  <c r="P40" i="1"/>
  <c r="P39" i="17"/>
  <c r="P39" i="15"/>
  <c r="L37" i="17"/>
  <c r="R37" i="17" s="1"/>
  <c r="S37" i="17" s="1"/>
  <c r="L37" i="15"/>
  <c r="Q37" i="15" s="1"/>
  <c r="S37" i="15" s="1"/>
  <c r="L35" i="15"/>
  <c r="R35" i="15" s="1"/>
  <c r="S35" i="15" s="1"/>
  <c r="L35" i="17"/>
  <c r="Q35" i="17" s="1"/>
  <c r="S35" i="17" s="1"/>
  <c r="L33" i="17"/>
  <c r="Q33" i="17" s="1"/>
  <c r="S33" i="17" s="1"/>
  <c r="L31" i="17"/>
  <c r="L19" i="5"/>
  <c r="Q19" i="5" s="1"/>
  <c r="S19" i="5" s="1"/>
  <c r="L19" i="14"/>
  <c r="L31" i="15"/>
  <c r="L17" i="16"/>
  <c r="Q17" i="16" s="1"/>
  <c r="S17" i="16" s="1"/>
  <c r="L27" i="17"/>
  <c r="R27" i="17" s="1"/>
  <c r="S27" i="17" s="1"/>
  <c r="L27" i="15"/>
  <c r="L31" i="4"/>
  <c r="L27" i="4"/>
  <c r="Q27" i="4" s="1"/>
  <c r="S27" i="4" s="1"/>
  <c r="L22" i="5"/>
  <c r="Q22" i="5" s="1"/>
  <c r="S22" i="5" s="1"/>
  <c r="L16" i="18"/>
  <c r="L23" i="4"/>
  <c r="Q23" i="4" s="1"/>
  <c r="S23" i="4" s="1"/>
  <c r="I21" i="17"/>
  <c r="J21" i="17" s="1"/>
  <c r="I21" i="15"/>
  <c r="J21" i="15" s="1"/>
  <c r="L16" i="14"/>
  <c r="L20" i="14"/>
  <c r="I19" i="15"/>
  <c r="J19" i="15" s="1"/>
  <c r="L19" i="15" s="1"/>
  <c r="R19" i="15" s="1"/>
  <c r="S19" i="15" s="1"/>
  <c r="I17" i="4"/>
  <c r="I17" i="17"/>
  <c r="J17" i="17" s="1"/>
  <c r="I15" i="4"/>
  <c r="J15" i="4" s="1"/>
  <c r="I15" i="17"/>
  <c r="J15" i="17" s="1"/>
  <c r="L15" i="17" s="1"/>
  <c r="J22" i="16"/>
  <c r="J12" i="18"/>
  <c r="L12" i="18" s="1"/>
  <c r="J11" i="16"/>
  <c r="L11" i="16" s="1"/>
  <c r="J21" i="16"/>
  <c r="J16" i="16"/>
  <c r="J17" i="6"/>
  <c r="L17" i="6" s="1"/>
  <c r="Q17" i="6" s="1"/>
  <c r="S17" i="6" s="1"/>
  <c r="S20" i="6" s="1"/>
  <c r="J21" i="5"/>
  <c r="J20" i="16"/>
  <c r="J20" i="5"/>
  <c r="J19" i="6"/>
  <c r="L19" i="6" s="1"/>
  <c r="R19" i="6" s="1"/>
  <c r="J17" i="5"/>
  <c r="J18" i="5" s="1"/>
  <c r="L18" i="5" s="1"/>
  <c r="Q18" i="5" s="1"/>
  <c r="S18" i="5" s="1"/>
  <c r="J16" i="5"/>
  <c r="J15" i="16"/>
  <c r="J15" i="8"/>
  <c r="J16" i="8" s="1"/>
  <c r="L16" i="8" s="1"/>
  <c r="Q16" i="8" s="1"/>
  <c r="S16" i="8" s="1"/>
  <c r="J14" i="5"/>
  <c r="J15" i="5" s="1"/>
  <c r="L15" i="5" s="1"/>
  <c r="Q15" i="5" s="1"/>
  <c r="S15" i="5" s="1"/>
  <c r="S13" i="9"/>
  <c r="J17" i="9"/>
  <c r="J19" i="9"/>
  <c r="J20" i="9" s="1"/>
  <c r="J21" i="9" s="1"/>
  <c r="J19" i="3"/>
  <c r="J17" i="3"/>
  <c r="J21" i="3"/>
  <c r="J18" i="3"/>
  <c r="J20" i="3"/>
  <c r="J22" i="3"/>
  <c r="Q15" i="13"/>
  <c r="S15" i="13" s="1"/>
  <c r="P10" i="13"/>
  <c r="P19" i="13"/>
  <c r="P18" i="13"/>
  <c r="P17" i="13"/>
  <c r="P16" i="13"/>
  <c r="P14" i="13"/>
  <c r="P15" i="13"/>
  <c r="S19" i="13"/>
  <c r="R14" i="13"/>
  <c r="S14" i="13" s="1"/>
  <c r="L14" i="13"/>
  <c r="I19" i="13"/>
  <c r="I18" i="13"/>
  <c r="J18" i="13" s="1"/>
  <c r="R18" i="13" s="1"/>
  <c r="I17" i="13"/>
  <c r="J17" i="13" s="1"/>
  <c r="I16" i="13"/>
  <c r="I14" i="13"/>
  <c r="I15" i="13"/>
  <c r="J13" i="16" l="1"/>
  <c r="L13" i="16" s="1"/>
  <c r="Q13" i="16" s="1"/>
  <c r="S13" i="16" s="1"/>
  <c r="S20" i="16"/>
  <c r="R57" i="18"/>
  <c r="L21" i="14"/>
  <c r="J13" i="14"/>
  <c r="Q31" i="4"/>
  <c r="R31" i="15"/>
  <c r="R31" i="17"/>
  <c r="J15" i="9"/>
  <c r="L15" i="9" s="1"/>
  <c r="R15" i="9" s="1"/>
  <c r="S15" i="9" s="1"/>
  <c r="L35" i="3"/>
  <c r="R35" i="3" s="1"/>
  <c r="S35" i="3" s="1"/>
  <c r="J19" i="18"/>
  <c r="J20" i="18" s="1"/>
  <c r="L20" i="18" s="1"/>
  <c r="Q20" i="18" s="1"/>
  <c r="L18" i="18"/>
  <c r="P39" i="16"/>
  <c r="L17" i="14"/>
  <c r="L33" i="4"/>
  <c r="Q33" i="4" s="1"/>
  <c r="S33" i="4" s="1"/>
  <c r="J26" i="1"/>
  <c r="L26" i="1" s="1"/>
  <c r="Q26" i="1" s="1"/>
  <c r="S26" i="1" s="1"/>
  <c r="P39" i="18"/>
  <c r="S67" i="17"/>
  <c r="P67" i="17"/>
  <c r="S39" i="14"/>
  <c r="R15" i="14"/>
  <c r="S39" i="9"/>
  <c r="P39" i="9"/>
  <c r="S39" i="6"/>
  <c r="P39" i="6"/>
  <c r="J13" i="5"/>
  <c r="L13" i="5" s="1"/>
  <c r="Q13" i="5" s="1"/>
  <c r="S13" i="5" s="1"/>
  <c r="P38" i="5"/>
  <c r="J17" i="4"/>
  <c r="J19" i="4" s="1"/>
  <c r="L19" i="4" s="1"/>
  <c r="Q19" i="4" s="1"/>
  <c r="S19" i="4" s="1"/>
  <c r="J16" i="13"/>
  <c r="L16" i="13" s="1"/>
  <c r="R11" i="18"/>
  <c r="J13" i="18"/>
  <c r="L13" i="18" s="1"/>
  <c r="R13" i="18" s="1"/>
  <c r="S13" i="18" s="1"/>
  <c r="R11" i="16"/>
  <c r="L17" i="9"/>
  <c r="R17" i="9" s="1"/>
  <c r="S17" i="9" s="1"/>
  <c r="S20" i="9" s="1"/>
  <c r="L23" i="8"/>
  <c r="L24" i="8" s="1"/>
  <c r="S11" i="6"/>
  <c r="R23" i="6"/>
  <c r="L23" i="6"/>
  <c r="L24" i="6" s="1"/>
  <c r="S11" i="5"/>
  <c r="S11" i="3"/>
  <c r="J13" i="3"/>
  <c r="L13" i="3" s="1"/>
  <c r="J20" i="1"/>
  <c r="L20" i="1" s="1"/>
  <c r="Q20" i="1" s="1"/>
  <c r="S20" i="1" s="1"/>
  <c r="R15" i="17"/>
  <c r="R15" i="15"/>
  <c r="R15" i="4"/>
  <c r="L15" i="4"/>
  <c r="S16" i="1"/>
  <c r="L22" i="16"/>
  <c r="R22" i="16" s="1"/>
  <c r="S22" i="16" s="1"/>
  <c r="L21" i="16"/>
  <c r="Q21" i="16" s="1"/>
  <c r="S21" i="16" s="1"/>
  <c r="L20" i="16"/>
  <c r="Q20" i="16" s="1"/>
  <c r="L17" i="18"/>
  <c r="L16" i="16"/>
  <c r="Q16" i="16" s="1"/>
  <c r="S16" i="16" s="1"/>
  <c r="L16" i="5"/>
  <c r="Q16" i="5" s="1"/>
  <c r="S16" i="5" s="1"/>
  <c r="L21" i="5"/>
  <c r="Q21" i="5" s="1"/>
  <c r="S21" i="5" s="1"/>
  <c r="L17" i="5"/>
  <c r="Q17" i="5" s="1"/>
  <c r="S17" i="5" s="1"/>
  <c r="S20" i="5" s="1"/>
  <c r="L20" i="5"/>
  <c r="Q20" i="5" s="1"/>
  <c r="L22" i="3"/>
  <c r="R22" i="3" s="1"/>
  <c r="S22" i="3" s="1"/>
  <c r="L17" i="3"/>
  <c r="Q17" i="3" s="1"/>
  <c r="S17" i="3" s="1"/>
  <c r="L20" i="3"/>
  <c r="R20" i="3" s="1"/>
  <c r="L19" i="3"/>
  <c r="Q19" i="3" s="1"/>
  <c r="S19" i="3" s="1"/>
  <c r="L18" i="3"/>
  <c r="Q18" i="3" s="1"/>
  <c r="S18" i="3" s="1"/>
  <c r="L21" i="3"/>
  <c r="Q21" i="3" s="1"/>
  <c r="S21" i="3" s="1"/>
  <c r="L15" i="16"/>
  <c r="R15" i="16" s="1"/>
  <c r="S15" i="16" s="1"/>
  <c r="S19" i="6"/>
  <c r="L15" i="3"/>
  <c r="L21" i="17"/>
  <c r="R21" i="17" s="1"/>
  <c r="S21" i="17" s="1"/>
  <c r="L14" i="5"/>
  <c r="Q14" i="5" s="1"/>
  <c r="S14" i="5" s="1"/>
  <c r="L14" i="3"/>
  <c r="Q14" i="3" s="1"/>
  <c r="S14" i="3" s="1"/>
  <c r="L21" i="15"/>
  <c r="R21" i="15" s="1"/>
  <c r="S21" i="15" s="1"/>
  <c r="L17" i="4"/>
  <c r="Q17" i="4" s="1"/>
  <c r="S17" i="4" s="1"/>
  <c r="L17" i="17"/>
  <c r="Q17" i="17" s="1"/>
  <c r="S17" i="17" s="1"/>
  <c r="L17" i="13"/>
  <c r="R17" i="13"/>
  <c r="S18" i="13"/>
  <c r="S17" i="13"/>
  <c r="L19" i="18" l="1"/>
  <c r="L23" i="18" s="1"/>
  <c r="L24" i="18" s="1"/>
  <c r="L23" i="14"/>
  <c r="L24" i="14" s="1"/>
  <c r="J14" i="14"/>
  <c r="L13" i="14"/>
  <c r="S23" i="6"/>
  <c r="S31" i="15"/>
  <c r="S31" i="17"/>
  <c r="S31" i="4"/>
  <c r="R39" i="15"/>
  <c r="S39" i="18"/>
  <c r="L37" i="3"/>
  <c r="L36" i="3"/>
  <c r="Q36" i="3" s="1"/>
  <c r="S36" i="3" s="1"/>
  <c r="L39" i="17"/>
  <c r="S15" i="14"/>
  <c r="S23" i="14" s="1"/>
  <c r="R23" i="14"/>
  <c r="L39" i="4"/>
  <c r="L40" i="4" s="1"/>
  <c r="R40" i="1"/>
  <c r="Q16" i="13"/>
  <c r="S16" i="13" s="1"/>
  <c r="S11" i="18"/>
  <c r="S23" i="18" s="1"/>
  <c r="R23" i="18"/>
  <c r="L23" i="16"/>
  <c r="L24" i="16" s="1"/>
  <c r="S11" i="16"/>
  <c r="S23" i="16" s="1"/>
  <c r="R23" i="16"/>
  <c r="R23" i="5"/>
  <c r="L23" i="5"/>
  <c r="L24" i="5" s="1"/>
  <c r="S23" i="5"/>
  <c r="Q13" i="3"/>
  <c r="L23" i="3"/>
  <c r="L24" i="3" s="1"/>
  <c r="L40" i="1"/>
  <c r="L41" i="1" s="1"/>
  <c r="S15" i="15"/>
  <c r="L39" i="15"/>
  <c r="S15" i="4"/>
  <c r="S39" i="4" s="1"/>
  <c r="R39" i="4"/>
  <c r="R39" i="17"/>
  <c r="S15" i="17"/>
  <c r="S39" i="17" s="1"/>
  <c r="S40" i="1"/>
  <c r="S9" i="18"/>
  <c r="S8" i="18"/>
  <c r="Q10" i="18"/>
  <c r="S10" i="18" s="1"/>
  <c r="S13" i="17"/>
  <c r="S11" i="17"/>
  <c r="S9" i="17"/>
  <c r="R10" i="16"/>
  <c r="S10" i="16" s="1"/>
  <c r="Q9" i="16"/>
  <c r="Q8" i="16"/>
  <c r="R11" i="15"/>
  <c r="Q9" i="15"/>
  <c r="Q10" i="14"/>
  <c r="S10" i="14" s="1"/>
  <c r="Q9" i="14"/>
  <c r="Q8" i="14"/>
  <c r="R8" i="12"/>
  <c r="R8" i="11"/>
  <c r="S8" i="11" s="1"/>
  <c r="Q9" i="9"/>
  <c r="Q10" i="9"/>
  <c r="Q8" i="9"/>
  <c r="Q10" i="8"/>
  <c r="S10" i="8" s="1"/>
  <c r="Q8" i="8"/>
  <c r="S8" i="8" s="1"/>
  <c r="Q9" i="7"/>
  <c r="Q8" i="7"/>
  <c r="R9" i="6"/>
  <c r="S9" i="6" s="1"/>
  <c r="Q8" i="6"/>
  <c r="Q10" i="5"/>
  <c r="Q9" i="5"/>
  <c r="Q8" i="5"/>
  <c r="Q11" i="4"/>
  <c r="Q9" i="4"/>
  <c r="Q9" i="3"/>
  <c r="Q8" i="3"/>
  <c r="R12" i="1"/>
  <c r="Q10" i="1"/>
  <c r="Q8" i="1"/>
  <c r="S39" i="15" l="1"/>
  <c r="L40" i="17"/>
  <c r="L40" i="15"/>
  <c r="R37" i="3"/>
  <c r="S37" i="3" s="1"/>
  <c r="L38" i="3"/>
  <c r="S13" i="3"/>
  <c r="S23" i="3" s="1"/>
  <c r="R23" i="3"/>
  <c r="Q14" i="1"/>
  <c r="S12" i="1"/>
  <c r="R14" i="1"/>
  <c r="S11" i="15"/>
  <c r="S9" i="15"/>
  <c r="S9" i="14"/>
  <c r="S8" i="14"/>
  <c r="S8" i="12"/>
  <c r="P10" i="8"/>
  <c r="P10" i="9"/>
  <c r="P10" i="6"/>
  <c r="P13" i="4"/>
  <c r="P10" i="3"/>
  <c r="P12" i="1"/>
  <c r="M9" i="6"/>
  <c r="N9" i="6" s="1"/>
  <c r="M12" i="1"/>
  <c r="N12" i="1" s="1"/>
  <c r="M8" i="12"/>
  <c r="N8" i="12" s="1"/>
  <c r="H10" i="11"/>
  <c r="G10" i="11"/>
  <c r="P7" i="11"/>
  <c r="S7" i="10"/>
  <c r="S10" i="9"/>
  <c r="S9" i="9"/>
  <c r="S8" i="9"/>
  <c r="S9" i="7"/>
  <c r="S8" i="7"/>
  <c r="S10" i="6"/>
  <c r="S8" i="6"/>
  <c r="S11" i="4"/>
  <c r="S9" i="4"/>
  <c r="S9" i="3"/>
  <c r="S8" i="3"/>
  <c r="R39" i="3" l="1"/>
  <c r="S38" i="3"/>
  <c r="S10" i="1"/>
  <c r="S8" i="1"/>
  <c r="S14" i="1" l="1"/>
  <c r="H13" i="4" l="1"/>
  <c r="G13" i="4"/>
  <c r="F13" i="4"/>
  <c r="H10" i="16"/>
  <c r="G10" i="16"/>
  <c r="H13" i="17"/>
  <c r="G13" i="17"/>
  <c r="F13" i="17"/>
  <c r="H10" i="12"/>
  <c r="G10" i="12"/>
  <c r="H10" i="10"/>
  <c r="G10" i="10"/>
  <c r="H10" i="9"/>
  <c r="G10" i="9"/>
  <c r="H10" i="8"/>
  <c r="G10" i="8"/>
  <c r="F10" i="8"/>
  <c r="H12" i="1"/>
  <c r="G12" i="1"/>
  <c r="F12" i="1"/>
  <c r="H10" i="6"/>
  <c r="G10" i="6"/>
  <c r="H10" i="5"/>
  <c r="G10" i="5"/>
  <c r="H10" i="7"/>
  <c r="G10" i="7"/>
  <c r="F10" i="7"/>
  <c r="H10" i="18"/>
  <c r="G10" i="18"/>
  <c r="G10" i="14"/>
  <c r="H10" i="14"/>
  <c r="M11" i="15"/>
  <c r="N11" i="15" s="1"/>
  <c r="I10" i="18" l="1"/>
  <c r="J10" i="18" s="1"/>
  <c r="G10" i="13"/>
  <c r="H10" i="13"/>
  <c r="F10" i="13" l="1"/>
  <c r="H13" i="15"/>
  <c r="G13" i="15"/>
  <c r="F13" i="15"/>
  <c r="I10" i="3"/>
  <c r="L10" i="3" s="1"/>
  <c r="J10" i="3" l="1"/>
  <c r="R10" i="3" s="1"/>
  <c r="H9" i="18"/>
  <c r="G9" i="18"/>
  <c r="H11" i="17"/>
  <c r="G11" i="17"/>
  <c r="S8" i="16"/>
  <c r="S9" i="16"/>
  <c r="H9" i="16"/>
  <c r="G9" i="16"/>
  <c r="H11" i="15"/>
  <c r="G11" i="15"/>
  <c r="H9" i="14"/>
  <c r="G9" i="14"/>
  <c r="H9" i="13"/>
  <c r="G9" i="13"/>
  <c r="H9" i="12"/>
  <c r="G9" i="12"/>
  <c r="H9" i="11"/>
  <c r="G9" i="11"/>
  <c r="H9" i="10"/>
  <c r="G9" i="10"/>
  <c r="H9" i="9"/>
  <c r="G9" i="9"/>
  <c r="Q9" i="8"/>
  <c r="S9" i="8" s="1"/>
  <c r="G9" i="8"/>
  <c r="H9" i="8"/>
  <c r="H9" i="7"/>
  <c r="G9" i="7"/>
  <c r="M10" i="3" l="1"/>
  <c r="N10" i="3" s="1"/>
  <c r="S10" i="3"/>
  <c r="H9" i="6"/>
  <c r="G9" i="6"/>
  <c r="H9" i="5"/>
  <c r="G9" i="5"/>
  <c r="G11" i="4"/>
  <c r="H11" i="4"/>
  <c r="H9" i="3"/>
  <c r="G9" i="3"/>
  <c r="H8" i="3"/>
  <c r="H10" i="1"/>
  <c r="G10" i="1"/>
  <c r="G8" i="1"/>
  <c r="H8" i="1"/>
  <c r="I9" i="3" l="1"/>
  <c r="F11" i="17"/>
  <c r="F11" i="15"/>
  <c r="I11" i="15" s="1"/>
  <c r="F11" i="4"/>
  <c r="F10" i="1"/>
  <c r="H9" i="4" l="1"/>
  <c r="G9" i="4"/>
  <c r="H8" i="16"/>
  <c r="G8" i="16"/>
  <c r="H9" i="17"/>
  <c r="G9" i="17"/>
  <c r="H8" i="12"/>
  <c r="G8" i="12"/>
  <c r="H8" i="11"/>
  <c r="G8" i="11"/>
  <c r="H8" i="10"/>
  <c r="G8" i="10"/>
  <c r="H8" i="9"/>
  <c r="G8" i="9"/>
  <c r="H8" i="8"/>
  <c r="G8" i="8"/>
  <c r="H8" i="6"/>
  <c r="G8" i="6"/>
  <c r="H8" i="5"/>
  <c r="G8" i="5"/>
  <c r="G8" i="3"/>
  <c r="H8" i="7"/>
  <c r="G8" i="7"/>
  <c r="H8" i="18"/>
  <c r="G8" i="18"/>
  <c r="M9" i="18"/>
  <c r="N9" i="18" s="1"/>
  <c r="M10" i="18"/>
  <c r="N10" i="18" s="1"/>
  <c r="M8" i="18"/>
  <c r="N8" i="18" s="1"/>
  <c r="M8" i="14"/>
  <c r="N8" i="14" s="1"/>
  <c r="H8" i="14"/>
  <c r="G8" i="14"/>
  <c r="Q8" i="13"/>
  <c r="S8" i="13" s="1"/>
  <c r="H8" i="13"/>
  <c r="G8" i="13"/>
  <c r="I8" i="5" l="1"/>
  <c r="H9" i="15"/>
  <c r="G9" i="15"/>
  <c r="P10" i="18"/>
  <c r="P9" i="18"/>
  <c r="I9" i="18"/>
  <c r="P8" i="18"/>
  <c r="I8" i="18"/>
  <c r="P7" i="18"/>
  <c r="F9" i="17"/>
  <c r="I9" i="17" s="1"/>
  <c r="I13" i="17"/>
  <c r="P11" i="17"/>
  <c r="I11" i="17"/>
  <c r="P9" i="17"/>
  <c r="P7" i="17"/>
  <c r="P10" i="16"/>
  <c r="I10" i="16"/>
  <c r="P9" i="16"/>
  <c r="I9" i="16"/>
  <c r="P8" i="16"/>
  <c r="I8" i="16"/>
  <c r="J8" i="16" s="1"/>
  <c r="P7" i="16"/>
  <c r="F9" i="15"/>
  <c r="I13" i="15"/>
  <c r="P11" i="15"/>
  <c r="P9" i="15"/>
  <c r="P7" i="15"/>
  <c r="P10" i="14"/>
  <c r="I10" i="14"/>
  <c r="P9" i="14"/>
  <c r="I9" i="14"/>
  <c r="P8" i="14"/>
  <c r="I8" i="14"/>
  <c r="J8" i="14" s="1"/>
  <c r="P7" i="14"/>
  <c r="I10" i="13"/>
  <c r="P9" i="13"/>
  <c r="I9" i="13"/>
  <c r="P8" i="13"/>
  <c r="I8" i="13"/>
  <c r="P7" i="13"/>
  <c r="I9" i="5"/>
  <c r="S9" i="5" s="1"/>
  <c r="I10" i="5"/>
  <c r="S10" i="5" s="1"/>
  <c r="I9" i="6"/>
  <c r="I10" i="6"/>
  <c r="J10" i="6" s="1"/>
  <c r="I9" i="7"/>
  <c r="I10" i="7"/>
  <c r="J10" i="7" s="1"/>
  <c r="J9" i="8"/>
  <c r="I10" i="8"/>
  <c r="J10" i="8" s="1"/>
  <c r="I9" i="9"/>
  <c r="I10" i="9"/>
  <c r="I9" i="10"/>
  <c r="I10" i="10"/>
  <c r="J10" i="10" s="1"/>
  <c r="I9" i="11"/>
  <c r="J9" i="11" s="1"/>
  <c r="I10" i="11"/>
  <c r="I9" i="12"/>
  <c r="I10" i="12"/>
  <c r="P10" i="12"/>
  <c r="P9" i="12"/>
  <c r="P8" i="12"/>
  <c r="I8" i="12"/>
  <c r="P7" i="12"/>
  <c r="P10" i="11"/>
  <c r="P9" i="11"/>
  <c r="P8" i="11"/>
  <c r="I8" i="11"/>
  <c r="P10" i="10"/>
  <c r="P9" i="10"/>
  <c r="P8" i="10"/>
  <c r="I8" i="10"/>
  <c r="R8" i="10" s="1"/>
  <c r="S8" i="10" s="1"/>
  <c r="P7" i="10"/>
  <c r="P9" i="9"/>
  <c r="P8" i="9"/>
  <c r="I8" i="9"/>
  <c r="J8" i="9" s="1"/>
  <c r="P7" i="9"/>
  <c r="P8" i="8"/>
  <c r="P9" i="8"/>
  <c r="P7" i="8"/>
  <c r="P7" i="7"/>
  <c r="P10" i="7"/>
  <c r="P9" i="7"/>
  <c r="P8" i="7"/>
  <c r="I8" i="7"/>
  <c r="J8" i="7" s="1"/>
  <c r="J10" i="11" l="1"/>
  <c r="Q13" i="15"/>
  <c r="S13" i="15" s="1"/>
  <c r="J8" i="8"/>
  <c r="J9" i="9"/>
  <c r="J10" i="9" s="1"/>
  <c r="J9" i="14"/>
  <c r="J10" i="14" s="1"/>
  <c r="L10" i="13"/>
  <c r="Q10" i="13"/>
  <c r="R9" i="13"/>
  <c r="M9" i="13"/>
  <c r="N9" i="13" s="1"/>
  <c r="J8" i="18"/>
  <c r="I9" i="15"/>
  <c r="P9" i="6"/>
  <c r="P8" i="6"/>
  <c r="I8" i="6"/>
  <c r="J8" i="6" s="1"/>
  <c r="P7" i="6"/>
  <c r="S8" i="5"/>
  <c r="F9" i="4"/>
  <c r="I9" i="4" s="1"/>
  <c r="J9" i="4" s="1"/>
  <c r="I8" i="3"/>
  <c r="J8" i="3" s="1"/>
  <c r="F8" i="1"/>
  <c r="I8" i="1" s="1"/>
  <c r="J8" i="1" s="1"/>
  <c r="P8" i="5"/>
  <c r="P7" i="5"/>
  <c r="I13" i="4"/>
  <c r="Q13" i="4" s="1"/>
  <c r="S13" i="4" s="1"/>
  <c r="P11" i="4"/>
  <c r="I11" i="4"/>
  <c r="P9" i="4"/>
  <c r="P7" i="4"/>
  <c r="P10" i="1"/>
  <c r="P8" i="1"/>
  <c r="P6" i="1"/>
  <c r="P9" i="3"/>
  <c r="P8" i="3"/>
  <c r="P7" i="3"/>
  <c r="I12" i="1"/>
  <c r="I10" i="1"/>
  <c r="S9" i="13" l="1"/>
  <c r="R11" i="13"/>
  <c r="S10" i="13"/>
  <c r="Q11" i="13"/>
  <c r="M8" i="11"/>
  <c r="N8" i="11" s="1"/>
  <c r="J10" i="1"/>
  <c r="L12" i="1" s="1"/>
  <c r="S11" i="13" l="1"/>
  <c r="Q11" i="8"/>
  <c r="S11" i="8" s="1"/>
  <c r="Q19" i="8"/>
  <c r="S19" i="8" s="1"/>
  <c r="Q20" i="8"/>
  <c r="Q21" i="8"/>
  <c r="S21" i="8" s="1"/>
  <c r="R23" i="8" l="1"/>
  <c r="S23" i="8"/>
  <c r="Q12" i="9"/>
  <c r="L23" i="9"/>
  <c r="L24" i="9" s="1"/>
  <c r="R23" i="9" l="1"/>
  <c r="S12" i="9"/>
  <c r="S23" i="9" s="1"/>
</calcChain>
</file>

<file path=xl/sharedStrings.xml><?xml version="1.0" encoding="utf-8"?>
<sst xmlns="http://schemas.openxmlformats.org/spreadsheetml/2006/main" count="2282" uniqueCount="118">
  <si>
    <t>Вид коммунального ресурса учитываемого  ОДПУ</t>
  </si>
  <si>
    <t>номер и дата счета РСО за отчетный период</t>
  </si>
  <si>
    <t>Объем ОДН КР ЭЭ на СОИ выставленного РСО в адрес УК</t>
  </si>
  <si>
    <t>Площадь жилых и не жилых помещений расположенных в МКД (кв/м)</t>
  </si>
  <si>
    <t xml:space="preserve">Отчетный месяц </t>
  </si>
  <si>
    <t xml:space="preserve"> ОДН КР ЭЭ на СОИ выставленного РСО в бухгалтерских документах  в адрес УК </t>
  </si>
  <si>
    <t>Разница между объемом потребления по ОДПУ и нормативом выставленного жителям МКД за отчетный период переходящего на следующий отчетный месяц</t>
  </si>
  <si>
    <t>Размер  ОДН КР ЭЭ на СОИ  выставленного в адрес жителей МКД по нормативу потребления (руб)</t>
  </si>
  <si>
    <t>Калининское шоссе, д. 14Б</t>
  </si>
  <si>
    <r>
      <t xml:space="preserve">Данные по ОДПУ за отчетный период </t>
    </r>
    <r>
      <rPr>
        <b/>
        <sz val="11"/>
        <color theme="1"/>
        <rFont val="Calibri"/>
        <family val="2"/>
        <charset val="204"/>
        <scheme val="minor"/>
      </rPr>
      <t>согласно журнала</t>
    </r>
    <r>
      <rPr>
        <sz val="11"/>
        <color theme="1"/>
        <rFont val="Calibri"/>
        <family val="2"/>
        <scheme val="minor"/>
      </rPr>
      <t xml:space="preserve"> УК  и переданные в адрес РСО для учета </t>
    </r>
    <r>
      <rPr>
        <sz val="11"/>
        <color rgb="FFFF0000"/>
        <rFont val="Calibri"/>
        <family val="2"/>
        <charset val="204"/>
        <scheme val="minor"/>
      </rPr>
      <t>(Общий объем потребления по ОДПУ)</t>
    </r>
  </si>
  <si>
    <r>
      <t>Объем потребленного ресурса за отчетный период</t>
    </r>
    <r>
      <rPr>
        <sz val="11"/>
        <color rgb="FFFF0000"/>
        <rFont val="Calibri"/>
        <family val="2"/>
        <charset val="204"/>
        <scheme val="minor"/>
      </rPr>
      <t xml:space="preserve">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</si>
  <si>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r>
      <t xml:space="preserve">Объем потребленного ресурса за отчетный период </t>
    </r>
    <r>
      <rPr>
        <sz val="11"/>
        <color rgb="FFFF0000"/>
        <rFont val="Calibri"/>
        <family val="2"/>
        <charset val="204"/>
        <scheme val="minor"/>
      </rPr>
      <t>не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</si>
  <si>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t>Объем ОДН КР на СОИ за минусом индивидуального потребления (расчетные на основании журнала и данных РСО ) 
ст.  6 - (7+8)</t>
  </si>
  <si>
    <t>Площадь ОИ для рачета ОДН</t>
  </si>
  <si>
    <t>Объем ОДН КР ЭЭ на СОИ  приходящегося на 1 кв.м. площади (кВт. час)</t>
  </si>
  <si>
    <t>Объем ОДН КР ЭЭ на СОИ  выставленного в адрес жителей МКД по нормативу потребления 
(кВт. час)</t>
  </si>
  <si>
    <t>Размер ОДН КР ЭЭ на СОИ  приходящегося на 1 кв.м. площади
 (руб/1 кв.м.)</t>
  </si>
  <si>
    <t>009112177453515</t>
  </si>
  <si>
    <t>009112177453522</t>
  </si>
  <si>
    <t>009112177453496</t>
  </si>
  <si>
    <t>009112177454174</t>
  </si>
  <si>
    <t>0091121781914</t>
  </si>
  <si>
    <t>Данные о Коллективном приборе учета установленном в МКД
 (серийный номер)</t>
  </si>
  <si>
    <t>ЭЭ</t>
  </si>
  <si>
    <t>Калининское шоссе, д. 14В</t>
  </si>
  <si>
    <t>Тариф с 01.07.2022</t>
  </si>
  <si>
    <t>Калининское шоссе, д. 16</t>
  </si>
  <si>
    <t>009112177453406</t>
  </si>
  <si>
    <t>Калининское шоссе, д. 16 Б</t>
  </si>
  <si>
    <t>Калининское шоссе, д. 16 Г</t>
  </si>
  <si>
    <t>009112177453477</t>
  </si>
  <si>
    <t>Калининское шоссе, д. 18 В</t>
  </si>
  <si>
    <t>009112177453631</t>
  </si>
  <si>
    <t>Калининское шоссе, д. 18 Г</t>
  </si>
  <si>
    <t>0088401721274</t>
  </si>
  <si>
    <t>Калининское шоссе, д. 31</t>
  </si>
  <si>
    <t>009112178191121</t>
  </si>
  <si>
    <t>Калининское шоссе, д. 33 А</t>
  </si>
  <si>
    <t>0088401721275</t>
  </si>
  <si>
    <t>Калининское шоссе, д. 33 Б</t>
  </si>
  <si>
    <t>009112177453640</t>
  </si>
  <si>
    <t>Калининское шоссе, д. 35</t>
  </si>
  <si>
    <t>ул. Красноармейская, д. 2</t>
  </si>
  <si>
    <t>009112178191182</t>
  </si>
  <si>
    <t>ул. Красноармейская, д. 3</t>
  </si>
  <si>
    <t>0088401721285</t>
  </si>
  <si>
    <t>Ленинградское шоссе, д. 20</t>
  </si>
  <si>
    <t>008840163301073</t>
  </si>
  <si>
    <t>008840162213350</t>
  </si>
  <si>
    <t>Лениградское шоссе, д. 42 В</t>
  </si>
  <si>
    <t>009112178191230</t>
  </si>
  <si>
    <t>Ленинградское шоссе, д. 42 Г</t>
  </si>
  <si>
    <t>009112178191507</t>
  </si>
  <si>
    <t>009112177453525</t>
  </si>
  <si>
    <t>ул. Мира, д. 4</t>
  </si>
  <si>
    <t>0091121774535886</t>
  </si>
  <si>
    <t>Размер ОДН КР ЭЭ на СОИ  приходящегося на 1 кв.м. площади
 (руб/1 кв.м.) на 1 кв.м. квартиры</t>
  </si>
  <si>
    <t>Объем ОДН КР ЭЭ на СОИ  приходящегося на 1 кв.м. площади (кВт. час) на 1 кв.м. квартры</t>
  </si>
  <si>
    <t>расчет по ОДПУ с 11.2022</t>
  </si>
  <si>
    <t>расчет по ОДПУ с 12.2022</t>
  </si>
  <si>
    <t>рачет по ОДПУ с 11.2022</t>
  </si>
  <si>
    <t>Приказ РЭК Тверской области № 564-нп от 29.12.2021</t>
  </si>
  <si>
    <t>Тариф с 01.12.2022</t>
  </si>
  <si>
    <t>Размер корректировки по ОДН КР ЭЭ на СОИ (руб.)</t>
  </si>
  <si>
    <t>№ 6970510631/018364 от 31.10.2022</t>
  </si>
  <si>
    <t>№ 6970510631/016220 от 30.09.2022</t>
  </si>
  <si>
    <t>№ 6970510631/020326 от 30.11.2022</t>
  </si>
  <si>
    <t>№ 6970510631/022341 от 31.12.2022</t>
  </si>
  <si>
    <t>Объем ЭЭ для расчета КР ОДН на СОИ</t>
  </si>
  <si>
    <t>по нормативу выставлено  больше чем по ОДПУ</t>
  </si>
  <si>
    <r>
      <rPr>
        <sz val="11"/>
        <color theme="1"/>
        <rFont val="Calibri"/>
        <family val="2"/>
        <scheme val="minor"/>
      </rPr>
      <t>по нормативу выставлено в адрес жителей меньше чем по ОДПУ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</si>
  <si>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r>
      <t xml:space="preserve">по нормативу выставлено в адрес жителей меньше чем по ОДПУ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</si>
  <si>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t>Приказ РЭК Тверской области № 490-нп от 28.11.2022</t>
  </si>
  <si>
    <t>Тариф с 01.01.2024</t>
  </si>
  <si>
    <t>Тариф с 01.07.2024</t>
  </si>
  <si>
    <t>Приказ № 544-нп от 19.12.2023</t>
  </si>
  <si>
    <t>№ 6970510631/001413 от 31.01.2023</t>
  </si>
  <si>
    <t>№ 6970510631/005337 от 31.03.2023</t>
  </si>
  <si>
    <t>№ 6970510631/007360 от 30.04.2023</t>
  </si>
  <si>
    <t>№ 6970510631/008959 от 31.05.2023</t>
  </si>
  <si>
    <t>№ 6970510631/011280 от 30.06.2023</t>
  </si>
  <si>
    <t>№ 6970510631/013419 от 31.07.2023</t>
  </si>
  <si>
    <t>№ 6970510631/015351 от 31.08.2023</t>
  </si>
  <si>
    <t>№ 6970510631/017388 от 30.09.2023</t>
  </si>
  <si>
    <t>№ 6970510631/019388 от 31.10.2023</t>
  </si>
  <si>
    <t>№ 6970510631/021361 от 30.11.2023</t>
  </si>
  <si>
    <t>№ 6970510631/023311 от 31.12.2023</t>
  </si>
  <si>
    <t>№ 6970510631/001424 от 31.01.2024</t>
  </si>
  <si>
    <t>№ 6970510631/003221 от 29.02.2024</t>
  </si>
  <si>
    <t>№ 6970510631/005179 от 31.03.2024</t>
  </si>
  <si>
    <t>№ 6970510631/006802 от 30.04.2024</t>
  </si>
  <si>
    <t>№ 6970510631/009106 от 31.05.2024</t>
  </si>
  <si>
    <t>№ 6970510631/011052 от 30.06.2024</t>
  </si>
  <si>
    <t>№ 6970510631/012959 от 31.07.2024</t>
  </si>
  <si>
    <t>№ 6970510631/014911 от 31.08.2024</t>
  </si>
  <si>
    <t>№ 6970510631/016827 от 30.09.2024</t>
  </si>
  <si>
    <t>№ 6970510631/018809 от 31.10.2024</t>
  </si>
  <si>
    <t>№ 6970510631/020768 от 30.11.2024</t>
  </si>
  <si>
    <t>№ 6970510631/022865 от 31.12.2024</t>
  </si>
  <si>
    <t>ул. 2-ая Авиационная, д. 29</t>
  </si>
  <si>
    <t>Тариф с 01.01.2025</t>
  </si>
  <si>
    <t>Тариф с 01.07.2025</t>
  </si>
  <si>
    <t>Приказ № 18-нп от 28.02.2025</t>
  </si>
  <si>
    <t>№ 6970510631/001348 от 31.01.2025</t>
  </si>
  <si>
    <t>№ 6970510631/003174 от 29.02.2025</t>
  </si>
  <si>
    <t>№ 6970510631/005110 от 31.03.2025</t>
  </si>
  <si>
    <t>№ 6970510631/007064 от 30.04.2025</t>
  </si>
  <si>
    <t>№ 6970510631/009036 от 31.05.2025</t>
  </si>
  <si>
    <t>№ 6970510631/010947 от 30.06.2025</t>
  </si>
  <si>
    <t>№ 6970510631/012837 от 31.07.2025</t>
  </si>
  <si>
    <t>№ 6970510631/015871 от 30.09.2025</t>
  </si>
  <si>
    <t>№ 6970510631/017705 от 31.10.2025</t>
  </si>
  <si>
    <t>№ 6970510631/021326 от 31.12.2025</t>
  </si>
  <si>
    <t>№ 6970510631/014506 от 31.08.2025</t>
  </si>
  <si>
    <t>№ 6970510631/019654 от 30.11.2025</t>
  </si>
  <si>
    <t>1109120094</t>
  </si>
  <si>
    <t>1 полугодие</t>
  </si>
  <si>
    <t>2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</si>
</sst>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9" fillId="0" borderId="0" xfId="0" applyFont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/>
    <xf numFmtId="164" fontId="0" fillId="0" borderId="0" xfId="0" applyNumberFormat="1"/>
    <xf numFmtId="164" fontId="1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7" fontId="0" fillId="0" borderId="1" xfId="0" applyNumberFormat="1" applyBorder="1" applyAlignment="1">
      <alignment horizontal="center"/>
    </xf>
    <xf numFmtId="49" fontId="0" fillId="0" borderId="1" xfId="0" applyNumberFormat="1" applyBorder="1"/>
    <xf numFmtId="4" fontId="0" fillId="0" borderId="0" xfId="0" applyNumberFormat="1"/>
    <xf numFmtId="164" fontId="1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2" xfId="0" applyBorder="1" applyAlignment="1">
      <alignment horizontal="right" wrapText="1"/>
    </xf>
    <xf numFmtId="4" fontId="10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4" fontId="1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right"/>
    </xf>
    <xf numFmtId="4" fontId="10" fillId="0" borderId="1" xfId="0" applyNumberFormat="1" applyFont="1" applyBorder="1"/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1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6" fontId="0" fillId="0" borderId="2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165" fontId="10" fillId="0" borderId="2" xfId="0" applyNumberFormat="1" applyFont="1" applyBorder="1" applyAlignment="1">
      <alignment horizontal="center"/>
    </xf>
    <xf numFmtId="165" fontId="10" fillId="0" borderId="1" xfId="0" applyNumberFormat="1" applyFont="1" applyBorder="1"/>
    <xf numFmtId="165" fontId="10" fillId="0" borderId="1" xfId="0" applyNumberFormat="1" applyFont="1" applyBorder="1" applyAlignment="1">
      <alignment horizontal="center"/>
    </xf>
    <xf numFmtId="165" fontId="0" fillId="0" borderId="0" xfId="0" applyNumberFormat="1"/>
    <xf numFmtId="17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3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3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 wrapText="1"/>
    </xf>
    <xf numFmtId="0" fontId="14" fillId="0" borderId="6" xfId="0" applyFont="1" applyBorder="1" applyAlignment="1">
      <alignment vertical="top"/>
    </xf>
    <xf numFmtId="0" fontId="14" fillId="0" borderId="0" xfId="0" applyFont="1" applyAlignment="1">
      <alignment vertical="top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3" fontId="0" fillId="3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4" fontId="0" fillId="0" borderId="0" xfId="0" applyNumberFormat="1" applyAlignment="1"/>
    <xf numFmtId="164" fontId="0" fillId="2" borderId="1" xfId="0" applyNumberFormat="1" applyFill="1" applyBorder="1" applyAlignment="1">
      <alignment horizontal="right"/>
    </xf>
    <xf numFmtId="0" fontId="0" fillId="2" borderId="2" xfId="0" applyFill="1" applyBorder="1" applyAlignment="1">
      <alignment wrapText="1"/>
    </xf>
    <xf numFmtId="0" fontId="0" fillId="0" borderId="0" xfId="0" applyAlignment="1">
      <alignment horizontal="center" vertical="center"/>
    </xf>
    <xf numFmtId="165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" fontId="0" fillId="2" borderId="2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right"/>
    </xf>
    <xf numFmtId="165" fontId="0" fillId="2" borderId="3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2" borderId="7" xfId="0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6" fontId="0" fillId="2" borderId="2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4" fontId="10" fillId="0" borderId="4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zoomScale="77" zoomScaleNormal="77" workbookViewId="0">
      <selection activeCell="D92" sqref="D9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46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57</v>
      </c>
      <c r="N4" s="125" t="s">
        <v>56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8">
        <v>44805</v>
      </c>
      <c r="B7" s="129">
        <v>8002.7</v>
      </c>
      <c r="C7" s="129">
        <v>2486</v>
      </c>
      <c r="D7" s="19" t="s">
        <v>47</v>
      </c>
      <c r="E7" s="129" t="s">
        <v>23</v>
      </c>
      <c r="F7" s="131"/>
      <c r="G7" s="131"/>
      <c r="H7" s="131"/>
      <c r="I7" s="131"/>
      <c r="J7" s="131"/>
      <c r="K7" s="133" t="s">
        <v>65</v>
      </c>
      <c r="L7" s="122">
        <v>1999</v>
      </c>
      <c r="M7" s="129"/>
      <c r="N7" s="129"/>
      <c r="O7" s="135">
        <v>1988.4549999999999</v>
      </c>
      <c r="P7" s="137">
        <f>O7*M2</f>
        <v>8749.2020000000011</v>
      </c>
      <c r="Q7" s="122">
        <v>0</v>
      </c>
      <c r="R7" s="122">
        <v>0</v>
      </c>
      <c r="S7" s="143">
        <v>0</v>
      </c>
    </row>
    <row r="8" spans="1:19" ht="20.100000000000001" hidden="1" customHeight="1" x14ac:dyDescent="0.25">
      <c r="A8" s="18">
        <v>44805</v>
      </c>
      <c r="B8" s="130"/>
      <c r="C8" s="130"/>
      <c r="D8" s="19" t="s">
        <v>48</v>
      </c>
      <c r="E8" s="130"/>
      <c r="F8" s="132"/>
      <c r="G8" s="132"/>
      <c r="H8" s="132"/>
      <c r="I8" s="132"/>
      <c r="J8" s="132"/>
      <c r="K8" s="134"/>
      <c r="L8" s="123"/>
      <c r="M8" s="130"/>
      <c r="N8" s="130"/>
      <c r="O8" s="136"/>
      <c r="P8" s="138"/>
      <c r="Q8" s="123"/>
      <c r="R8" s="123"/>
      <c r="S8" s="143"/>
    </row>
    <row r="9" spans="1:19" ht="20.100000000000001" hidden="1" customHeight="1" x14ac:dyDescent="0.25">
      <c r="A9" s="18">
        <v>44835</v>
      </c>
      <c r="B9" s="129">
        <v>8002.7</v>
      </c>
      <c r="C9" s="129">
        <v>2486</v>
      </c>
      <c r="D9" s="19" t="s">
        <v>47</v>
      </c>
      <c r="E9" s="129" t="s">
        <v>23</v>
      </c>
      <c r="F9" s="131">
        <f>5680.86+9336.24</f>
        <v>15017.099999999999</v>
      </c>
      <c r="G9" s="131">
        <f>13111+734+347</f>
        <v>14192</v>
      </c>
      <c r="H9" s="131">
        <f>50+144+18+27+15+15+15</f>
        <v>284</v>
      </c>
      <c r="I9" s="131">
        <f>F9-(G9+H9)</f>
        <v>541.09999999999854</v>
      </c>
      <c r="J9" s="131">
        <v>541</v>
      </c>
      <c r="K9" s="133" t="s">
        <v>64</v>
      </c>
      <c r="L9" s="122">
        <v>541</v>
      </c>
      <c r="M9" s="139"/>
      <c r="N9" s="139"/>
      <c r="O9" s="135">
        <v>1988.4549999999999</v>
      </c>
      <c r="P9" s="137">
        <f>O9*M2</f>
        <v>8749.2020000000011</v>
      </c>
      <c r="Q9" s="141">
        <f>O9-J9</f>
        <v>1447.4549999999999</v>
      </c>
      <c r="R9" s="141">
        <v>0</v>
      </c>
      <c r="S9" s="143">
        <f>-(Q9*M2)</f>
        <v>-6368.8020000000006</v>
      </c>
    </row>
    <row r="10" spans="1:19" ht="20.100000000000001" hidden="1" customHeight="1" x14ac:dyDescent="0.25">
      <c r="A10" s="18">
        <v>44835</v>
      </c>
      <c r="B10" s="130"/>
      <c r="C10" s="130"/>
      <c r="D10" s="19" t="s">
        <v>48</v>
      </c>
      <c r="E10" s="130"/>
      <c r="F10" s="132"/>
      <c r="G10" s="132"/>
      <c r="H10" s="132"/>
      <c r="I10" s="132"/>
      <c r="J10" s="132"/>
      <c r="K10" s="134"/>
      <c r="L10" s="123"/>
      <c r="M10" s="140"/>
      <c r="N10" s="140"/>
      <c r="O10" s="136"/>
      <c r="P10" s="138"/>
      <c r="Q10" s="142"/>
      <c r="R10" s="142"/>
      <c r="S10" s="143"/>
    </row>
    <row r="11" spans="1:19" ht="15.75" hidden="1" customHeight="1" x14ac:dyDescent="0.25">
      <c r="A11" s="18">
        <v>44866</v>
      </c>
      <c r="B11" s="129">
        <v>8002.7</v>
      </c>
      <c r="C11" s="129">
        <v>2486</v>
      </c>
      <c r="D11" s="19" t="s">
        <v>47</v>
      </c>
      <c r="E11" s="129" t="s">
        <v>23</v>
      </c>
      <c r="F11" s="131">
        <f>6557.46+10292.7</f>
        <v>16850.16</v>
      </c>
      <c r="G11" s="131">
        <f>11234+679+267</f>
        <v>12180</v>
      </c>
      <c r="H11" s="131">
        <f>40+157+18+27+15+15+15</f>
        <v>287</v>
      </c>
      <c r="I11" s="131">
        <f>F11-(G11+H11)</f>
        <v>4383.16</v>
      </c>
      <c r="J11" s="131">
        <v>4383</v>
      </c>
      <c r="K11" s="133" t="s">
        <v>66</v>
      </c>
      <c r="L11" s="122">
        <v>4383</v>
      </c>
      <c r="M11" s="139">
        <f>L11*(1/B11)</f>
        <v>0.54769015457283166</v>
      </c>
      <c r="N11" s="139">
        <f>M11*M2</f>
        <v>2.4098366801204594</v>
      </c>
      <c r="O11" s="135">
        <v>1988.4549999999999</v>
      </c>
      <c r="P11" s="137">
        <f>O11*M2</f>
        <v>8749.2020000000011</v>
      </c>
      <c r="Q11" s="141">
        <v>0</v>
      </c>
      <c r="R11" s="141">
        <f>J11-O11</f>
        <v>2394.5450000000001</v>
      </c>
      <c r="S11" s="143">
        <f>R11*M2</f>
        <v>10535.998000000001</v>
      </c>
    </row>
    <row r="12" spans="1:19" ht="15.75" hidden="1" customHeight="1" x14ac:dyDescent="0.25">
      <c r="A12" s="18">
        <v>44866</v>
      </c>
      <c r="B12" s="130"/>
      <c r="C12" s="130"/>
      <c r="D12" s="19" t="s">
        <v>48</v>
      </c>
      <c r="E12" s="130"/>
      <c r="F12" s="132"/>
      <c r="G12" s="132"/>
      <c r="H12" s="132"/>
      <c r="I12" s="132"/>
      <c r="J12" s="132"/>
      <c r="K12" s="134"/>
      <c r="L12" s="123"/>
      <c r="M12" s="140"/>
      <c r="N12" s="140"/>
      <c r="O12" s="136"/>
      <c r="P12" s="138"/>
      <c r="Q12" s="142"/>
      <c r="R12" s="142"/>
      <c r="S12" s="143"/>
    </row>
    <row r="13" spans="1:19" ht="15.75" hidden="1" customHeight="1" x14ac:dyDescent="0.25">
      <c r="A13" s="18">
        <v>44896</v>
      </c>
      <c r="B13" s="129">
        <v>8002.7</v>
      </c>
      <c r="C13" s="129">
        <v>2486</v>
      </c>
      <c r="D13" s="19" t="s">
        <v>47</v>
      </c>
      <c r="E13" s="129" t="s">
        <v>23</v>
      </c>
      <c r="F13" s="131">
        <f>10169+6868</f>
        <v>17037</v>
      </c>
      <c r="G13" s="131">
        <f>14488+676+251</f>
        <v>15415</v>
      </c>
      <c r="H13" s="131">
        <f>47+156+18+27+15+15+15</f>
        <v>293</v>
      </c>
      <c r="I13" s="131">
        <f>F13-(G13+H13)</f>
        <v>1329</v>
      </c>
      <c r="J13" s="131">
        <v>1329</v>
      </c>
      <c r="K13" s="133" t="s">
        <v>67</v>
      </c>
      <c r="L13" s="122">
        <v>1329</v>
      </c>
      <c r="M13" s="139"/>
      <c r="N13" s="139"/>
      <c r="O13" s="135">
        <v>1988.4549999999999</v>
      </c>
      <c r="P13" s="137">
        <f>O13*M3</f>
        <v>9524.6994500000001</v>
      </c>
      <c r="Q13" s="141">
        <f>O13-I13</f>
        <v>659.45499999999993</v>
      </c>
      <c r="R13" s="141">
        <v>0</v>
      </c>
      <c r="S13" s="143">
        <f>-(Q13*M3)</f>
        <v>-3158.7894499999998</v>
      </c>
    </row>
    <row r="14" spans="1:19" ht="15.75" hidden="1" customHeight="1" x14ac:dyDescent="0.25">
      <c r="A14" s="18">
        <v>44896</v>
      </c>
      <c r="B14" s="130"/>
      <c r="C14" s="130"/>
      <c r="D14" s="19" t="s">
        <v>48</v>
      </c>
      <c r="E14" s="130"/>
      <c r="F14" s="132"/>
      <c r="G14" s="132"/>
      <c r="H14" s="132"/>
      <c r="I14" s="132"/>
      <c r="J14" s="132"/>
      <c r="K14" s="134"/>
      <c r="L14" s="123"/>
      <c r="M14" s="140"/>
      <c r="N14" s="140"/>
      <c r="O14" s="136"/>
      <c r="P14" s="138"/>
      <c r="Q14" s="142"/>
      <c r="R14" s="142"/>
      <c r="S14" s="143"/>
    </row>
    <row r="15" spans="1:19" ht="15.75" hidden="1" customHeight="1" x14ac:dyDescent="0.25">
      <c r="A15" s="57">
        <v>44927</v>
      </c>
      <c r="B15" s="111">
        <v>8002.7</v>
      </c>
      <c r="C15" s="111">
        <v>2486</v>
      </c>
      <c r="D15" s="59" t="s">
        <v>47</v>
      </c>
      <c r="E15" s="111" t="s">
        <v>23</v>
      </c>
      <c r="F15" s="113">
        <f>7619.28+10927.08</f>
        <v>18546.36</v>
      </c>
      <c r="G15" s="113">
        <f>13764+753+264</f>
        <v>14781</v>
      </c>
      <c r="H15" s="113">
        <f>46+137+18+27+15+15+15</f>
        <v>273</v>
      </c>
      <c r="I15" s="113">
        <f>F15-(G15+H15)</f>
        <v>3492.3600000000006</v>
      </c>
      <c r="J15" s="113">
        <f>I15</f>
        <v>3492.3600000000006</v>
      </c>
      <c r="K15" s="120" t="s">
        <v>76</v>
      </c>
      <c r="L15" s="103">
        <f>J15</f>
        <v>3492.3600000000006</v>
      </c>
      <c r="M15" s="105"/>
      <c r="N15" s="105"/>
      <c r="O15" s="107">
        <v>1988.4549999999999</v>
      </c>
      <c r="P15" s="99">
        <f>O15*M3</f>
        <v>9524.6994500000001</v>
      </c>
      <c r="Q15" s="119"/>
      <c r="R15" s="101">
        <f>L15-O15</f>
        <v>1503.9050000000007</v>
      </c>
      <c r="S15" s="99">
        <f>R15*M3</f>
        <v>7203.704950000003</v>
      </c>
    </row>
    <row r="16" spans="1:19" ht="15.75" hidden="1" customHeight="1" x14ac:dyDescent="0.25">
      <c r="A16" s="57">
        <v>44927</v>
      </c>
      <c r="B16" s="112"/>
      <c r="C16" s="112"/>
      <c r="D16" s="59" t="s">
        <v>48</v>
      </c>
      <c r="E16" s="112"/>
      <c r="F16" s="114"/>
      <c r="G16" s="114"/>
      <c r="H16" s="114"/>
      <c r="I16" s="114"/>
      <c r="J16" s="114"/>
      <c r="K16" s="121"/>
      <c r="L16" s="104"/>
      <c r="M16" s="106"/>
      <c r="N16" s="106"/>
      <c r="O16" s="108"/>
      <c r="P16" s="109"/>
      <c r="Q16" s="104"/>
      <c r="R16" s="102"/>
      <c r="S16" s="109"/>
    </row>
    <row r="17" spans="1:19" ht="15.75" hidden="1" customHeight="1" x14ac:dyDescent="0.25">
      <c r="A17" s="57">
        <v>44958</v>
      </c>
      <c r="B17" s="111">
        <v>8002.7</v>
      </c>
      <c r="C17" s="111">
        <v>2486</v>
      </c>
      <c r="D17" s="59" t="s">
        <v>47</v>
      </c>
      <c r="E17" s="111" t="s">
        <v>23</v>
      </c>
      <c r="F17" s="113">
        <f>4933.8+7695.48</f>
        <v>12629.279999999999</v>
      </c>
      <c r="G17" s="113">
        <f>15501+450+204</f>
        <v>16155</v>
      </c>
      <c r="H17" s="113">
        <f>49+115+18+27+15+15+15</f>
        <v>254</v>
      </c>
      <c r="I17" s="113">
        <f t="shared" ref="I17" si="0">F17-(G17+H17)</f>
        <v>-3779.7200000000012</v>
      </c>
      <c r="J17" s="113">
        <f t="shared" ref="J17" si="1">I17</f>
        <v>-3779.7200000000012</v>
      </c>
      <c r="K17" s="120"/>
      <c r="L17" s="103">
        <f t="shared" ref="L17" si="2">IF(J17&lt;0,0,I17)</f>
        <v>0</v>
      </c>
      <c r="M17" s="105"/>
      <c r="N17" s="105"/>
      <c r="O17" s="107">
        <v>1988.4549999999999</v>
      </c>
      <c r="P17" s="99">
        <f>O17*M3</f>
        <v>9524.6994500000001</v>
      </c>
      <c r="Q17" s="119">
        <v>-1988.4549999999999</v>
      </c>
      <c r="R17" s="101"/>
      <c r="S17" s="99">
        <f>Q17*M3</f>
        <v>-9524.6994500000001</v>
      </c>
    </row>
    <row r="18" spans="1:19" ht="15.75" hidden="1" customHeight="1" x14ac:dyDescent="0.25">
      <c r="A18" s="57">
        <v>44958</v>
      </c>
      <c r="B18" s="112"/>
      <c r="C18" s="112"/>
      <c r="D18" s="59" t="s">
        <v>48</v>
      </c>
      <c r="E18" s="112"/>
      <c r="F18" s="114"/>
      <c r="G18" s="114"/>
      <c r="H18" s="114"/>
      <c r="I18" s="114"/>
      <c r="J18" s="114"/>
      <c r="K18" s="121"/>
      <c r="L18" s="104"/>
      <c r="M18" s="106"/>
      <c r="N18" s="106"/>
      <c r="O18" s="108"/>
      <c r="P18" s="109"/>
      <c r="Q18" s="104"/>
      <c r="R18" s="102"/>
      <c r="S18" s="109"/>
    </row>
    <row r="19" spans="1:19" ht="15.75" hidden="1" customHeight="1" x14ac:dyDescent="0.25">
      <c r="A19" s="57">
        <v>44986</v>
      </c>
      <c r="B19" s="111">
        <v>8002.7</v>
      </c>
      <c r="C19" s="111">
        <v>2486</v>
      </c>
      <c r="D19" s="59" t="s">
        <v>47</v>
      </c>
      <c r="E19" s="111" t="s">
        <v>23</v>
      </c>
      <c r="F19" s="113">
        <f>7486.68+11791.86</f>
        <v>19278.54</v>
      </c>
      <c r="G19" s="113">
        <f>9761+657+251</f>
        <v>10669</v>
      </c>
      <c r="H19" s="113">
        <f>49+142+18+27+15+15+15</f>
        <v>281</v>
      </c>
      <c r="I19" s="113">
        <f t="shared" ref="I19" si="3">F19-(G19+H19)</f>
        <v>8328.5400000000009</v>
      </c>
      <c r="J19" s="113">
        <f>I19+J17</f>
        <v>4548.82</v>
      </c>
      <c r="K19" s="120" t="s">
        <v>77</v>
      </c>
      <c r="L19" s="103">
        <f>J19</f>
        <v>4548.82</v>
      </c>
      <c r="M19" s="105"/>
      <c r="N19" s="105"/>
      <c r="O19" s="107">
        <v>1988.4549999999999</v>
      </c>
      <c r="P19" s="99">
        <f>O19*M3</f>
        <v>9524.6994500000001</v>
      </c>
      <c r="Q19" s="119"/>
      <c r="R19" s="101">
        <f>L19-O19</f>
        <v>2560.3649999999998</v>
      </c>
      <c r="S19" s="99">
        <f>R19*M3</f>
        <v>12264.148349999999</v>
      </c>
    </row>
    <row r="20" spans="1:19" ht="15.75" hidden="1" customHeight="1" x14ac:dyDescent="0.25">
      <c r="A20" s="57">
        <v>44986</v>
      </c>
      <c r="B20" s="112"/>
      <c r="C20" s="112"/>
      <c r="D20" s="59" t="s">
        <v>48</v>
      </c>
      <c r="E20" s="112"/>
      <c r="F20" s="114"/>
      <c r="G20" s="114"/>
      <c r="H20" s="114"/>
      <c r="I20" s="114"/>
      <c r="J20" s="114"/>
      <c r="K20" s="121"/>
      <c r="L20" s="104"/>
      <c r="M20" s="106"/>
      <c r="N20" s="106"/>
      <c r="O20" s="108"/>
      <c r="P20" s="109"/>
      <c r="Q20" s="104"/>
      <c r="R20" s="102"/>
      <c r="S20" s="109"/>
    </row>
    <row r="21" spans="1:19" ht="15.75" hidden="1" customHeight="1" x14ac:dyDescent="0.25">
      <c r="A21" s="57">
        <v>45017</v>
      </c>
      <c r="B21" s="111">
        <v>8002.7</v>
      </c>
      <c r="C21" s="111">
        <v>2486</v>
      </c>
      <c r="D21" s="59" t="s">
        <v>47</v>
      </c>
      <c r="E21" s="111" t="s">
        <v>23</v>
      </c>
      <c r="F21" s="113">
        <f>5722.86+9369.42</f>
        <v>15092.279999999999</v>
      </c>
      <c r="G21" s="113">
        <f>11995+475+148</f>
        <v>12618</v>
      </c>
      <c r="H21" s="113">
        <f>42+160+18+27+15+15+15</f>
        <v>292</v>
      </c>
      <c r="I21" s="113">
        <f t="shared" ref="I21" si="4">F21-(G21+H21)</f>
        <v>2182.2799999999988</v>
      </c>
      <c r="J21" s="113">
        <f t="shared" ref="J21" si="5">I21</f>
        <v>2182.2799999999988</v>
      </c>
      <c r="K21" s="120" t="s">
        <v>78</v>
      </c>
      <c r="L21" s="103">
        <f t="shared" ref="L21" si="6">IF(J21&lt;0,0,I21)</f>
        <v>2182.2799999999988</v>
      </c>
      <c r="M21" s="105"/>
      <c r="N21" s="105"/>
      <c r="O21" s="107">
        <v>1988.4549999999999</v>
      </c>
      <c r="P21" s="99">
        <f>O21*M3</f>
        <v>9524.6994500000001</v>
      </c>
      <c r="Q21" s="119"/>
      <c r="R21" s="101">
        <f>L21-O21</f>
        <v>193.82499999999891</v>
      </c>
      <c r="S21" s="99">
        <f>R21*M3</f>
        <v>928.42174999999474</v>
      </c>
    </row>
    <row r="22" spans="1:19" ht="15.75" hidden="1" customHeight="1" x14ac:dyDescent="0.25">
      <c r="A22" s="57">
        <v>45017</v>
      </c>
      <c r="B22" s="112"/>
      <c r="C22" s="112"/>
      <c r="D22" s="59" t="s">
        <v>48</v>
      </c>
      <c r="E22" s="112"/>
      <c r="F22" s="114"/>
      <c r="G22" s="114"/>
      <c r="H22" s="114"/>
      <c r="I22" s="114"/>
      <c r="J22" s="114"/>
      <c r="K22" s="121"/>
      <c r="L22" s="104"/>
      <c r="M22" s="106"/>
      <c r="N22" s="106"/>
      <c r="O22" s="108"/>
      <c r="P22" s="109"/>
      <c r="Q22" s="104"/>
      <c r="R22" s="102"/>
      <c r="S22" s="109"/>
    </row>
    <row r="23" spans="1:19" ht="15.75" hidden="1" customHeight="1" x14ac:dyDescent="0.25">
      <c r="A23" s="57">
        <v>45047</v>
      </c>
      <c r="B23" s="111">
        <v>8002.7</v>
      </c>
      <c r="C23" s="111">
        <v>2486</v>
      </c>
      <c r="D23" s="59" t="s">
        <v>47</v>
      </c>
      <c r="E23" s="111" t="s">
        <v>23</v>
      </c>
      <c r="F23" s="113">
        <f>7915.8+9630.06</f>
        <v>17545.86</v>
      </c>
      <c r="G23" s="113">
        <f>12579+877+430</f>
        <v>13886</v>
      </c>
      <c r="H23" s="113">
        <f>165+179+18+27+15+15+15</f>
        <v>434</v>
      </c>
      <c r="I23" s="113">
        <f t="shared" ref="I23" si="7">F23-(G23+H23)</f>
        <v>3225.8600000000006</v>
      </c>
      <c r="J23" s="113">
        <f t="shared" ref="J23" si="8">I23</f>
        <v>3225.8600000000006</v>
      </c>
      <c r="K23" s="120" t="s">
        <v>79</v>
      </c>
      <c r="L23" s="103">
        <f t="shared" ref="L23" si="9">IF(J23&lt;0,0,I23)</f>
        <v>3225.8600000000006</v>
      </c>
      <c r="M23" s="105"/>
      <c r="N23" s="105"/>
      <c r="O23" s="107">
        <v>1988.4549999999999</v>
      </c>
      <c r="P23" s="99">
        <f>O23*M3</f>
        <v>9524.6994500000001</v>
      </c>
      <c r="Q23" s="119"/>
      <c r="R23" s="101">
        <f>L23-O23</f>
        <v>1237.4050000000007</v>
      </c>
      <c r="S23" s="99">
        <f>R23*M3</f>
        <v>5927.1699500000032</v>
      </c>
    </row>
    <row r="24" spans="1:19" ht="15.75" hidden="1" customHeight="1" x14ac:dyDescent="0.25">
      <c r="A24" s="57">
        <v>45047</v>
      </c>
      <c r="B24" s="112"/>
      <c r="C24" s="112"/>
      <c r="D24" s="59" t="s">
        <v>48</v>
      </c>
      <c r="E24" s="112"/>
      <c r="F24" s="114"/>
      <c r="G24" s="114"/>
      <c r="H24" s="114"/>
      <c r="I24" s="114"/>
      <c r="J24" s="114"/>
      <c r="K24" s="121"/>
      <c r="L24" s="104"/>
      <c r="M24" s="106"/>
      <c r="N24" s="106"/>
      <c r="O24" s="108"/>
      <c r="P24" s="109"/>
      <c r="Q24" s="104"/>
      <c r="R24" s="102"/>
      <c r="S24" s="109"/>
    </row>
    <row r="25" spans="1:19" ht="15.75" hidden="1" customHeight="1" x14ac:dyDescent="0.25">
      <c r="A25" s="57">
        <v>45078</v>
      </c>
      <c r="B25" s="111">
        <v>8002.7</v>
      </c>
      <c r="C25" s="111">
        <v>2486</v>
      </c>
      <c r="D25" s="59" t="s">
        <v>47</v>
      </c>
      <c r="E25" s="111" t="s">
        <v>23</v>
      </c>
      <c r="F25" s="113">
        <f>5971.26+8679.36</f>
        <v>14650.62</v>
      </c>
      <c r="G25" s="113">
        <f>12185+805+350</f>
        <v>13340</v>
      </c>
      <c r="H25" s="113">
        <f>159+152+18+27+15+15+16</f>
        <v>402</v>
      </c>
      <c r="I25" s="113">
        <f t="shared" ref="I25" si="10">F25-(G25+H25)</f>
        <v>908.6200000000008</v>
      </c>
      <c r="J25" s="113">
        <f t="shared" ref="J25" si="11">I25</f>
        <v>908.6200000000008</v>
      </c>
      <c r="K25" s="120" t="s">
        <v>80</v>
      </c>
      <c r="L25" s="103">
        <f t="shared" ref="L25" si="12">IF(J25&lt;0,0,I25)</f>
        <v>908.6200000000008</v>
      </c>
      <c r="M25" s="105"/>
      <c r="N25" s="105"/>
      <c r="O25" s="107">
        <v>1988.4549999999999</v>
      </c>
      <c r="P25" s="99">
        <f>O25*M3</f>
        <v>9524.6994500000001</v>
      </c>
      <c r="Q25" s="101">
        <f>L25-O25</f>
        <v>-1079.8349999999991</v>
      </c>
      <c r="R25" s="101"/>
      <c r="S25" s="99">
        <f>Q25*M3</f>
        <v>-5172.409649999996</v>
      </c>
    </row>
    <row r="26" spans="1:19" ht="15.75" hidden="1" customHeight="1" x14ac:dyDescent="0.25">
      <c r="A26" s="57">
        <v>45078</v>
      </c>
      <c r="B26" s="112"/>
      <c r="C26" s="112"/>
      <c r="D26" s="59" t="s">
        <v>48</v>
      </c>
      <c r="E26" s="112"/>
      <c r="F26" s="114"/>
      <c r="G26" s="114"/>
      <c r="H26" s="114"/>
      <c r="I26" s="114"/>
      <c r="J26" s="114"/>
      <c r="K26" s="121"/>
      <c r="L26" s="104"/>
      <c r="M26" s="106"/>
      <c r="N26" s="106"/>
      <c r="O26" s="108"/>
      <c r="P26" s="109"/>
      <c r="Q26" s="102"/>
      <c r="R26" s="102"/>
      <c r="S26" s="109"/>
    </row>
    <row r="27" spans="1:19" ht="15.75" hidden="1" customHeight="1" x14ac:dyDescent="0.25">
      <c r="A27" s="57">
        <v>45108</v>
      </c>
      <c r="B27" s="111">
        <v>8002.7</v>
      </c>
      <c r="C27" s="111">
        <v>2486</v>
      </c>
      <c r="D27" s="59" t="s">
        <v>47</v>
      </c>
      <c r="E27" s="111" t="s">
        <v>23</v>
      </c>
      <c r="F27" s="113">
        <f>5491.08+7748.04</f>
        <v>13239.119999999999</v>
      </c>
      <c r="G27" s="113">
        <f>12004+667+307</f>
        <v>12978</v>
      </c>
      <c r="H27" s="113">
        <f>64+125+18+27+15+15+15</f>
        <v>279</v>
      </c>
      <c r="I27" s="113">
        <f t="shared" ref="I27" si="13">F27-(G27+H27)</f>
        <v>-17.880000000001019</v>
      </c>
      <c r="J27" s="113">
        <f t="shared" ref="J27" si="14">I27</f>
        <v>-17.880000000001019</v>
      </c>
      <c r="K27" s="120" t="s">
        <v>81</v>
      </c>
      <c r="L27" s="103">
        <f t="shared" ref="L27" si="15">IF(J27&lt;0,0,I27)</f>
        <v>0</v>
      </c>
      <c r="M27" s="105"/>
      <c r="N27" s="105"/>
      <c r="O27" s="107">
        <v>1988.4549999999999</v>
      </c>
      <c r="P27" s="99">
        <f>O27*M3</f>
        <v>9524.6994500000001</v>
      </c>
      <c r="Q27" s="119">
        <v>-1988.4549999999999</v>
      </c>
      <c r="R27" s="101"/>
      <c r="S27" s="99">
        <f>Q27*M3</f>
        <v>-9524.6994500000001</v>
      </c>
    </row>
    <row r="28" spans="1:19" ht="15.75" hidden="1" customHeight="1" x14ac:dyDescent="0.25">
      <c r="A28" s="57">
        <v>45108</v>
      </c>
      <c r="B28" s="112"/>
      <c r="C28" s="112"/>
      <c r="D28" s="59" t="s">
        <v>48</v>
      </c>
      <c r="E28" s="112"/>
      <c r="F28" s="114"/>
      <c r="G28" s="114"/>
      <c r="H28" s="114"/>
      <c r="I28" s="114"/>
      <c r="J28" s="114"/>
      <c r="K28" s="121"/>
      <c r="L28" s="104"/>
      <c r="M28" s="106"/>
      <c r="N28" s="106"/>
      <c r="O28" s="108"/>
      <c r="P28" s="109"/>
      <c r="Q28" s="104"/>
      <c r="R28" s="102"/>
      <c r="S28" s="109"/>
    </row>
    <row r="29" spans="1:19" ht="15.75" hidden="1" customHeight="1" x14ac:dyDescent="0.25">
      <c r="A29" s="57">
        <v>45139</v>
      </c>
      <c r="B29" s="111">
        <v>8002.7</v>
      </c>
      <c r="C29" s="111">
        <v>2486</v>
      </c>
      <c r="D29" s="59" t="s">
        <v>47</v>
      </c>
      <c r="E29" s="111" t="s">
        <v>23</v>
      </c>
      <c r="F29" s="113">
        <f>6696.3+9175.8</f>
        <v>15872.099999999999</v>
      </c>
      <c r="G29" s="113">
        <f>11679+398+191</f>
        <v>12268</v>
      </c>
      <c r="H29" s="113">
        <f>41+111+18+27+15+15+15</f>
        <v>242</v>
      </c>
      <c r="I29" s="113">
        <f t="shared" ref="I29" si="16">F29-(G29+H29)</f>
        <v>3362.0999999999985</v>
      </c>
      <c r="J29" s="113">
        <f>I29+J27</f>
        <v>3344.2199999999975</v>
      </c>
      <c r="K29" s="120" t="s">
        <v>82</v>
      </c>
      <c r="L29" s="103">
        <f>J29</f>
        <v>3344.2199999999975</v>
      </c>
      <c r="M29" s="105"/>
      <c r="N29" s="105"/>
      <c r="O29" s="107">
        <v>1988.4549999999999</v>
      </c>
      <c r="P29" s="99">
        <f>O29*M3</f>
        <v>9524.6994500000001</v>
      </c>
      <c r="Q29" s="119"/>
      <c r="R29" s="101">
        <f>L29-O29</f>
        <v>1355.7649999999976</v>
      </c>
      <c r="S29" s="99">
        <f>R29*M3</f>
        <v>6494.1143499999889</v>
      </c>
    </row>
    <row r="30" spans="1:19" ht="15.75" hidden="1" customHeight="1" x14ac:dyDescent="0.25">
      <c r="A30" s="57">
        <v>45139</v>
      </c>
      <c r="B30" s="112"/>
      <c r="C30" s="112"/>
      <c r="D30" s="59" t="s">
        <v>48</v>
      </c>
      <c r="E30" s="112"/>
      <c r="F30" s="114"/>
      <c r="G30" s="114"/>
      <c r="H30" s="114"/>
      <c r="I30" s="114"/>
      <c r="J30" s="114"/>
      <c r="K30" s="121"/>
      <c r="L30" s="104"/>
      <c r="M30" s="106"/>
      <c r="N30" s="106"/>
      <c r="O30" s="108"/>
      <c r="P30" s="109"/>
      <c r="Q30" s="104"/>
      <c r="R30" s="102"/>
      <c r="S30" s="109"/>
    </row>
    <row r="31" spans="1:19" ht="15.75" hidden="1" customHeight="1" x14ac:dyDescent="0.25">
      <c r="A31" s="57">
        <v>45170</v>
      </c>
      <c r="B31" s="111">
        <v>8002.7</v>
      </c>
      <c r="C31" s="111">
        <v>2486</v>
      </c>
      <c r="D31" s="59" t="s">
        <v>47</v>
      </c>
      <c r="E31" s="111" t="s">
        <v>23</v>
      </c>
      <c r="F31" s="113">
        <f>7778.28+9232.5</f>
        <v>17010.78</v>
      </c>
      <c r="G31" s="113">
        <f>12117+984+489</f>
        <v>13590</v>
      </c>
      <c r="H31" s="113">
        <f>196+162+18+27+15+15+15</f>
        <v>448</v>
      </c>
      <c r="I31" s="113">
        <f t="shared" ref="I31" si="17">F31-(G31+H31)</f>
        <v>2972.7799999999988</v>
      </c>
      <c r="J31" s="113">
        <f t="shared" ref="J31" si="18">I31</f>
        <v>2972.7799999999988</v>
      </c>
      <c r="K31" s="120" t="s">
        <v>83</v>
      </c>
      <c r="L31" s="103">
        <f t="shared" ref="L31" si="19">IF(J31&lt;0,0,I31)</f>
        <v>2972.7799999999988</v>
      </c>
      <c r="M31" s="105"/>
      <c r="N31" s="105"/>
      <c r="O31" s="107">
        <v>1988.4549999999999</v>
      </c>
      <c r="P31" s="99">
        <f>O31*M3</f>
        <v>9524.6994500000001</v>
      </c>
      <c r="Q31" s="119"/>
      <c r="R31" s="101">
        <f>L31-O31</f>
        <v>984.32499999999891</v>
      </c>
      <c r="S31" s="99">
        <f>R31*M3</f>
        <v>4714.9167499999949</v>
      </c>
    </row>
    <row r="32" spans="1:19" ht="15.75" hidden="1" customHeight="1" x14ac:dyDescent="0.25">
      <c r="A32" s="57">
        <v>45170</v>
      </c>
      <c r="B32" s="112"/>
      <c r="C32" s="112"/>
      <c r="D32" s="59" t="s">
        <v>48</v>
      </c>
      <c r="E32" s="112"/>
      <c r="F32" s="114"/>
      <c r="G32" s="114"/>
      <c r="H32" s="114"/>
      <c r="I32" s="114"/>
      <c r="J32" s="114"/>
      <c r="K32" s="121"/>
      <c r="L32" s="104"/>
      <c r="M32" s="106"/>
      <c r="N32" s="106"/>
      <c r="O32" s="108"/>
      <c r="P32" s="109"/>
      <c r="Q32" s="104"/>
      <c r="R32" s="102"/>
      <c r="S32" s="109"/>
    </row>
    <row r="33" spans="1:19" ht="15.75" hidden="1" customHeight="1" x14ac:dyDescent="0.25">
      <c r="A33" s="57">
        <v>45200</v>
      </c>
      <c r="B33" s="111">
        <v>8002.7</v>
      </c>
      <c r="C33" s="111">
        <v>2486</v>
      </c>
      <c r="D33" s="59" t="s">
        <v>47</v>
      </c>
      <c r="E33" s="111" t="s">
        <v>23</v>
      </c>
      <c r="F33" s="113">
        <f>7488.24+10151.1</f>
        <v>17639.34</v>
      </c>
      <c r="G33" s="113">
        <f>14601+1160+461</f>
        <v>16222</v>
      </c>
      <c r="H33" s="113">
        <f>15+195+18+27+15+15+15</f>
        <v>300</v>
      </c>
      <c r="I33" s="113">
        <f t="shared" ref="I33" si="20">F33-(G33+H33)</f>
        <v>1117.3400000000001</v>
      </c>
      <c r="J33" s="113">
        <f t="shared" ref="J33" si="21">I33</f>
        <v>1117.3400000000001</v>
      </c>
      <c r="K33" s="120" t="s">
        <v>84</v>
      </c>
      <c r="L33" s="103">
        <f t="shared" ref="L33" si="22">IF(J33&lt;0,0,I33)</f>
        <v>1117.3400000000001</v>
      </c>
      <c r="M33" s="105"/>
      <c r="N33" s="105"/>
      <c r="O33" s="107">
        <v>1988.4549999999999</v>
      </c>
      <c r="P33" s="99">
        <f>O33*M3</f>
        <v>9524.6994500000001</v>
      </c>
      <c r="Q33" s="101">
        <f>L33-O33</f>
        <v>-871.11499999999978</v>
      </c>
      <c r="R33" s="101"/>
      <c r="S33" s="99">
        <f>Q33*M3</f>
        <v>-4172.6408499999989</v>
      </c>
    </row>
    <row r="34" spans="1:19" ht="15.75" hidden="1" customHeight="1" x14ac:dyDescent="0.25">
      <c r="A34" s="57">
        <v>45200</v>
      </c>
      <c r="B34" s="112"/>
      <c r="C34" s="112"/>
      <c r="D34" s="59" t="s">
        <v>48</v>
      </c>
      <c r="E34" s="112"/>
      <c r="F34" s="114"/>
      <c r="G34" s="114"/>
      <c r="H34" s="114"/>
      <c r="I34" s="114"/>
      <c r="J34" s="114"/>
      <c r="K34" s="121"/>
      <c r="L34" s="104"/>
      <c r="M34" s="106"/>
      <c r="N34" s="106"/>
      <c r="O34" s="108"/>
      <c r="P34" s="109"/>
      <c r="Q34" s="102"/>
      <c r="R34" s="102"/>
      <c r="S34" s="109"/>
    </row>
    <row r="35" spans="1:19" ht="15.75" hidden="1" customHeight="1" x14ac:dyDescent="0.25">
      <c r="A35" s="57">
        <v>45231</v>
      </c>
      <c r="B35" s="111">
        <v>8002.7</v>
      </c>
      <c r="C35" s="111">
        <v>2486</v>
      </c>
      <c r="D35" s="59" t="s">
        <v>47</v>
      </c>
      <c r="E35" s="111" t="s">
        <v>23</v>
      </c>
      <c r="F35" s="113">
        <f>6152.16+10013.16</f>
        <v>16165.32</v>
      </c>
      <c r="G35" s="113">
        <f>11232+717+265</f>
        <v>12214</v>
      </c>
      <c r="H35" s="113">
        <f>59+167+18+27+15+15+15</f>
        <v>316</v>
      </c>
      <c r="I35" s="113">
        <f t="shared" ref="I35" si="23">F35-(G35+H35)</f>
        <v>3635.3199999999997</v>
      </c>
      <c r="J35" s="113">
        <f t="shared" ref="J35" si="24">I35</f>
        <v>3635.3199999999997</v>
      </c>
      <c r="K35" s="120" t="s">
        <v>85</v>
      </c>
      <c r="L35" s="103">
        <f t="shared" ref="L35" si="25">IF(J35&lt;0,0,I35)</f>
        <v>3635.3199999999997</v>
      </c>
      <c r="M35" s="105"/>
      <c r="N35" s="105"/>
      <c r="O35" s="107">
        <v>1988.4549999999999</v>
      </c>
      <c r="P35" s="99">
        <f>O35*M3</f>
        <v>9524.6994500000001</v>
      </c>
      <c r="Q35" s="119"/>
      <c r="R35" s="101">
        <f>L35-O35</f>
        <v>1646.8649999999998</v>
      </c>
      <c r="S35" s="99">
        <f>R35*M3</f>
        <v>7888.4833499999986</v>
      </c>
    </row>
    <row r="36" spans="1:19" ht="15.75" hidden="1" customHeight="1" x14ac:dyDescent="0.25">
      <c r="A36" s="57">
        <v>45231</v>
      </c>
      <c r="B36" s="112"/>
      <c r="C36" s="112"/>
      <c r="D36" s="59" t="s">
        <v>48</v>
      </c>
      <c r="E36" s="112"/>
      <c r="F36" s="114"/>
      <c r="G36" s="114"/>
      <c r="H36" s="114"/>
      <c r="I36" s="114"/>
      <c r="J36" s="114"/>
      <c r="K36" s="121"/>
      <c r="L36" s="104"/>
      <c r="M36" s="106"/>
      <c r="N36" s="106"/>
      <c r="O36" s="108"/>
      <c r="P36" s="109"/>
      <c r="Q36" s="104"/>
      <c r="R36" s="102"/>
      <c r="S36" s="109"/>
    </row>
    <row r="37" spans="1:19" ht="15.75" hidden="1" customHeight="1" x14ac:dyDescent="0.25">
      <c r="A37" s="57">
        <v>45261</v>
      </c>
      <c r="B37" s="111">
        <v>8002.7</v>
      </c>
      <c r="C37" s="111">
        <v>2486</v>
      </c>
      <c r="D37" s="59" t="s">
        <v>47</v>
      </c>
      <c r="E37" s="111" t="s">
        <v>23</v>
      </c>
      <c r="F37" s="113">
        <f>6074.88+9636.9</f>
        <v>15711.779999999999</v>
      </c>
      <c r="G37" s="113">
        <f>12580+835+283</f>
        <v>13698</v>
      </c>
      <c r="H37" s="113">
        <f>30+179+18+27+15+15+15</f>
        <v>299</v>
      </c>
      <c r="I37" s="113">
        <f t="shared" ref="I37" si="26">F37-(G37+H37)</f>
        <v>1714.7799999999988</v>
      </c>
      <c r="J37" s="113">
        <f t="shared" ref="J37" si="27">I37</f>
        <v>1714.7799999999988</v>
      </c>
      <c r="K37" s="120" t="s">
        <v>86</v>
      </c>
      <c r="L37" s="103">
        <f t="shared" ref="L37" si="28">IF(J37&lt;0,0,I37)</f>
        <v>1714.7799999999988</v>
      </c>
      <c r="M37" s="105"/>
      <c r="N37" s="105"/>
      <c r="O37" s="107">
        <v>1988.4549999999999</v>
      </c>
      <c r="P37" s="99">
        <f>O37*M3</f>
        <v>9524.6994500000001</v>
      </c>
      <c r="Q37" s="101">
        <f>L37-O37</f>
        <v>-273.67500000000109</v>
      </c>
      <c r="R37" s="101"/>
      <c r="S37" s="99">
        <f>Q37*M3</f>
        <v>-1310.9032500000053</v>
      </c>
    </row>
    <row r="38" spans="1:19" ht="15.75" hidden="1" customHeight="1" x14ac:dyDescent="0.25">
      <c r="A38" s="57">
        <v>45261</v>
      </c>
      <c r="B38" s="112"/>
      <c r="C38" s="112"/>
      <c r="D38" s="59" t="s">
        <v>48</v>
      </c>
      <c r="E38" s="112"/>
      <c r="F38" s="114"/>
      <c r="G38" s="114"/>
      <c r="H38" s="114"/>
      <c r="I38" s="114"/>
      <c r="J38" s="114"/>
      <c r="K38" s="121"/>
      <c r="L38" s="104"/>
      <c r="M38" s="106"/>
      <c r="N38" s="106"/>
      <c r="O38" s="108"/>
      <c r="P38" s="109"/>
      <c r="Q38" s="102"/>
      <c r="R38" s="102"/>
      <c r="S38" s="109"/>
    </row>
    <row r="39" spans="1:19" ht="31.5" hidden="1" customHeight="1" x14ac:dyDescent="0.25">
      <c r="L39" s="73">
        <f>SUM(L15:L37)</f>
        <v>27142.379999999994</v>
      </c>
      <c r="O39" s="56">
        <f>SUM(O15:O37)</f>
        <v>23861.460000000006</v>
      </c>
      <c r="P39" s="20">
        <f>SUM(P15:P37)</f>
        <v>114296.3934</v>
      </c>
      <c r="R39" s="56">
        <f>SUM(Q15:R38)</f>
        <v>3280.9199999999964</v>
      </c>
      <c r="S39" s="20">
        <f>SUM(S15:S38)</f>
        <v>15715.606799999981</v>
      </c>
    </row>
    <row r="40" spans="1:19" ht="31.5" hidden="1" customHeight="1" x14ac:dyDescent="0.25">
      <c r="L40" s="20">
        <f>L39*M3</f>
        <v>130012.00019999997</v>
      </c>
    </row>
    <row r="41" spans="1:19" ht="31.5" hidden="1" customHeight="1" x14ac:dyDescent="0.25">
      <c r="O41" s="56"/>
      <c r="P41" s="20"/>
    </row>
    <row r="42" spans="1:19" ht="31.5" hidden="1" customHeight="1" x14ac:dyDescent="0.25"/>
    <row r="43" spans="1:19" ht="15.75" hidden="1" customHeight="1" x14ac:dyDescent="0.25">
      <c r="A43" s="57">
        <v>45292</v>
      </c>
      <c r="B43" s="111">
        <v>8002.7</v>
      </c>
      <c r="C43" s="111">
        <v>2486</v>
      </c>
      <c r="D43" s="59" t="s">
        <v>47</v>
      </c>
      <c r="E43" s="111" t="s">
        <v>23</v>
      </c>
      <c r="F43" s="113">
        <f>12301+8327</f>
        <v>20628</v>
      </c>
      <c r="G43" s="113">
        <f>14319+850+343</f>
        <v>15512</v>
      </c>
      <c r="H43" s="113">
        <f>95+158+18+27+15+15+15</f>
        <v>343</v>
      </c>
      <c r="I43" s="113">
        <f>F43-(G43+H43)</f>
        <v>4773</v>
      </c>
      <c r="J43" s="113">
        <f>I43</f>
        <v>4773</v>
      </c>
      <c r="K43" s="115" t="s">
        <v>87</v>
      </c>
      <c r="L43" s="103">
        <f>I43</f>
        <v>4773</v>
      </c>
      <c r="M43" s="105"/>
      <c r="N43" s="105"/>
      <c r="O43" s="107">
        <v>1988.4549999999999</v>
      </c>
      <c r="P43" s="99">
        <f>O43*O2</f>
        <v>9524.6994500000001</v>
      </c>
      <c r="Q43" s="101"/>
      <c r="R43" s="101">
        <f>L43-O43</f>
        <v>2784.5450000000001</v>
      </c>
      <c r="S43" s="99">
        <f>R43*O2</f>
        <v>13337.97055</v>
      </c>
    </row>
    <row r="44" spans="1:19" ht="15.75" hidden="1" customHeight="1" x14ac:dyDescent="0.25">
      <c r="A44" s="57">
        <v>45292</v>
      </c>
      <c r="B44" s="112"/>
      <c r="C44" s="112"/>
      <c r="D44" s="59" t="s">
        <v>48</v>
      </c>
      <c r="E44" s="112"/>
      <c r="F44" s="114"/>
      <c r="G44" s="114"/>
      <c r="H44" s="114"/>
      <c r="I44" s="114"/>
      <c r="J44" s="114"/>
      <c r="K44" s="116"/>
      <c r="L44" s="104"/>
      <c r="M44" s="106"/>
      <c r="N44" s="106"/>
      <c r="O44" s="108"/>
      <c r="P44" s="109"/>
      <c r="Q44" s="102"/>
      <c r="R44" s="102"/>
      <c r="S44" s="109"/>
    </row>
    <row r="45" spans="1:19" ht="15.75" hidden="1" customHeight="1" x14ac:dyDescent="0.25">
      <c r="A45" s="57">
        <v>45323</v>
      </c>
      <c r="B45" s="111">
        <v>8002.7</v>
      </c>
      <c r="C45" s="111">
        <v>2486</v>
      </c>
      <c r="D45" s="59" t="s">
        <v>47</v>
      </c>
      <c r="E45" s="111" t="s">
        <v>23</v>
      </c>
      <c r="F45" s="113">
        <f>9323+6212</f>
        <v>15535</v>
      </c>
      <c r="G45" s="113">
        <f>12559+776+321</f>
        <v>13656</v>
      </c>
      <c r="H45" s="113">
        <f>36+177+18+27+15+15+15</f>
        <v>303</v>
      </c>
      <c r="I45" s="113">
        <f t="shared" ref="I45" si="29">F45-(G45+H45)</f>
        <v>1576</v>
      </c>
      <c r="J45" s="113">
        <f t="shared" ref="J45" si="30">I45</f>
        <v>1576</v>
      </c>
      <c r="K45" s="115" t="s">
        <v>88</v>
      </c>
      <c r="L45" s="103">
        <f>I45</f>
        <v>1576</v>
      </c>
      <c r="M45" s="105"/>
      <c r="N45" s="105"/>
      <c r="O45" s="107">
        <v>1988.4549999999999</v>
      </c>
      <c r="P45" s="99">
        <f>O45*O2</f>
        <v>9524.6994500000001</v>
      </c>
      <c r="Q45" s="101">
        <f>L45-O45</f>
        <v>-412.45499999999993</v>
      </c>
      <c r="R45" s="101"/>
      <c r="S45" s="99">
        <f>Q45*O2</f>
        <v>-1975.6594499999997</v>
      </c>
    </row>
    <row r="46" spans="1:19" ht="15.75" hidden="1" customHeight="1" x14ac:dyDescent="0.25">
      <c r="A46" s="57">
        <v>45323</v>
      </c>
      <c r="B46" s="112"/>
      <c r="C46" s="112"/>
      <c r="D46" s="59" t="s">
        <v>48</v>
      </c>
      <c r="E46" s="112"/>
      <c r="F46" s="114"/>
      <c r="G46" s="114"/>
      <c r="H46" s="114"/>
      <c r="I46" s="114"/>
      <c r="J46" s="114"/>
      <c r="K46" s="116"/>
      <c r="L46" s="104"/>
      <c r="M46" s="106"/>
      <c r="N46" s="106"/>
      <c r="O46" s="108"/>
      <c r="P46" s="109"/>
      <c r="Q46" s="102"/>
      <c r="R46" s="102"/>
      <c r="S46" s="109"/>
    </row>
    <row r="47" spans="1:19" ht="15.75" hidden="1" customHeight="1" x14ac:dyDescent="0.25">
      <c r="A47" s="57">
        <v>45352</v>
      </c>
      <c r="B47" s="111">
        <v>8002.7</v>
      </c>
      <c r="C47" s="111">
        <v>2486</v>
      </c>
      <c r="D47" s="59" t="s">
        <v>47</v>
      </c>
      <c r="E47" s="111" t="s">
        <v>23</v>
      </c>
      <c r="F47" s="113">
        <f>9532+6169</f>
        <v>15701</v>
      </c>
      <c r="G47" s="113">
        <f>12966+768+340</f>
        <v>14074</v>
      </c>
      <c r="H47" s="113">
        <f>54+136+18+27+15+15+15</f>
        <v>280</v>
      </c>
      <c r="I47" s="113">
        <f>F47-(G47+H47)</f>
        <v>1347</v>
      </c>
      <c r="J47" s="113">
        <f>I47</f>
        <v>1347</v>
      </c>
      <c r="K47" s="115" t="s">
        <v>89</v>
      </c>
      <c r="L47" s="103">
        <f>J47</f>
        <v>1347</v>
      </c>
      <c r="M47" s="105"/>
      <c r="N47" s="105"/>
      <c r="O47" s="107">
        <v>1988.4549999999999</v>
      </c>
      <c r="P47" s="99">
        <f>O47*O2</f>
        <v>9524.6994500000001</v>
      </c>
      <c r="Q47" s="101">
        <f>L47-O47</f>
        <v>-641.45499999999993</v>
      </c>
      <c r="R47" s="101"/>
      <c r="S47" s="99">
        <f>Q47*O2</f>
        <v>-3072.5694499999995</v>
      </c>
    </row>
    <row r="48" spans="1:19" ht="15.75" hidden="1" customHeight="1" x14ac:dyDescent="0.25">
      <c r="A48" s="57">
        <v>45352</v>
      </c>
      <c r="B48" s="112"/>
      <c r="C48" s="112"/>
      <c r="D48" s="59" t="s">
        <v>48</v>
      </c>
      <c r="E48" s="112"/>
      <c r="F48" s="114"/>
      <c r="G48" s="114"/>
      <c r="H48" s="114"/>
      <c r="I48" s="114"/>
      <c r="J48" s="114"/>
      <c r="K48" s="116"/>
      <c r="L48" s="104"/>
      <c r="M48" s="106"/>
      <c r="N48" s="106"/>
      <c r="O48" s="108"/>
      <c r="P48" s="109"/>
      <c r="Q48" s="102"/>
      <c r="R48" s="102"/>
      <c r="S48" s="109"/>
    </row>
    <row r="49" spans="1:19" ht="15.75" hidden="1" customHeight="1" x14ac:dyDescent="0.25">
      <c r="A49" s="57">
        <v>45383</v>
      </c>
      <c r="B49" s="111">
        <v>8002.7</v>
      </c>
      <c r="C49" s="111">
        <v>2486</v>
      </c>
      <c r="D49" s="59" t="s">
        <v>47</v>
      </c>
      <c r="E49" s="111" t="s">
        <v>23</v>
      </c>
      <c r="F49" s="113">
        <f>10158+6609</f>
        <v>16767</v>
      </c>
      <c r="G49" s="113">
        <f>13190+720+316</f>
        <v>14226</v>
      </c>
      <c r="H49" s="113">
        <f>44+166+18+27+15+15+15</f>
        <v>300</v>
      </c>
      <c r="I49" s="113">
        <f>F49-(G49+H49)</f>
        <v>2241</v>
      </c>
      <c r="J49" s="113">
        <f>I49</f>
        <v>2241</v>
      </c>
      <c r="K49" s="115" t="s">
        <v>90</v>
      </c>
      <c r="L49" s="103">
        <f>I49</f>
        <v>2241</v>
      </c>
      <c r="M49" s="105"/>
      <c r="N49" s="105"/>
      <c r="O49" s="107">
        <v>1988.4549999999999</v>
      </c>
      <c r="P49" s="99">
        <f>O49*O2</f>
        <v>9524.6994500000001</v>
      </c>
      <c r="Q49" s="101"/>
      <c r="R49" s="101">
        <f>L49-O49</f>
        <v>252.54500000000007</v>
      </c>
      <c r="S49" s="99">
        <f>R49*O2</f>
        <v>1209.6905500000003</v>
      </c>
    </row>
    <row r="50" spans="1:19" ht="15.75" hidden="1" customHeight="1" x14ac:dyDescent="0.25">
      <c r="A50" s="57">
        <v>45383</v>
      </c>
      <c r="B50" s="112"/>
      <c r="C50" s="112"/>
      <c r="D50" s="59" t="s">
        <v>48</v>
      </c>
      <c r="E50" s="112"/>
      <c r="F50" s="114"/>
      <c r="G50" s="114"/>
      <c r="H50" s="114"/>
      <c r="I50" s="114"/>
      <c r="J50" s="114"/>
      <c r="K50" s="116"/>
      <c r="L50" s="104"/>
      <c r="M50" s="106"/>
      <c r="N50" s="106"/>
      <c r="O50" s="108"/>
      <c r="P50" s="109"/>
      <c r="Q50" s="102"/>
      <c r="R50" s="102"/>
      <c r="S50" s="109"/>
    </row>
    <row r="51" spans="1:19" ht="15.75" hidden="1" customHeight="1" x14ac:dyDescent="0.25">
      <c r="A51" s="57">
        <v>45413</v>
      </c>
      <c r="B51" s="111">
        <v>8002.7</v>
      </c>
      <c r="C51" s="111">
        <v>2486</v>
      </c>
      <c r="D51" s="59" t="s">
        <v>47</v>
      </c>
      <c r="E51" s="111" t="s">
        <v>23</v>
      </c>
      <c r="F51" s="113">
        <f>8135+5743</f>
        <v>13878</v>
      </c>
      <c r="G51" s="113">
        <f>13418+666+246</f>
        <v>14330</v>
      </c>
      <c r="H51" s="113">
        <f>52+118+18+27+15+15+15</f>
        <v>260</v>
      </c>
      <c r="I51" s="113">
        <f>F51-(G51+H51)</f>
        <v>-712</v>
      </c>
      <c r="J51" s="113">
        <f>I51</f>
        <v>-712</v>
      </c>
      <c r="K51" s="115" t="s">
        <v>91</v>
      </c>
      <c r="L51" s="103">
        <f>IF(J51&lt;0,0,I51)</f>
        <v>0</v>
      </c>
      <c r="M51" s="105"/>
      <c r="N51" s="105"/>
      <c r="O51" s="107">
        <v>1988.4549999999999</v>
      </c>
      <c r="P51" s="99">
        <f>O51*O2</f>
        <v>9524.6994500000001</v>
      </c>
      <c r="Q51" s="101">
        <f t="shared" ref="Q51" si="31">L51-O51</f>
        <v>-1988.4549999999999</v>
      </c>
      <c r="R51" s="101"/>
      <c r="S51" s="99">
        <f>Q51*O2</f>
        <v>-9524.6994500000001</v>
      </c>
    </row>
    <row r="52" spans="1:19" ht="15.75" hidden="1" customHeight="1" x14ac:dyDescent="0.25">
      <c r="A52" s="57">
        <v>45413</v>
      </c>
      <c r="B52" s="112"/>
      <c r="C52" s="112"/>
      <c r="D52" s="59" t="s">
        <v>48</v>
      </c>
      <c r="E52" s="112"/>
      <c r="F52" s="114"/>
      <c r="G52" s="114"/>
      <c r="H52" s="114"/>
      <c r="I52" s="114"/>
      <c r="J52" s="114"/>
      <c r="K52" s="116"/>
      <c r="L52" s="104"/>
      <c r="M52" s="106"/>
      <c r="N52" s="106"/>
      <c r="O52" s="108"/>
      <c r="P52" s="109"/>
      <c r="Q52" s="102"/>
      <c r="R52" s="102"/>
      <c r="S52" s="109"/>
    </row>
    <row r="53" spans="1:19" ht="15.75" hidden="1" customHeight="1" x14ac:dyDescent="0.25">
      <c r="A53" s="57">
        <v>45444</v>
      </c>
      <c r="B53" s="111">
        <v>8002.7</v>
      </c>
      <c r="C53" s="111">
        <v>2486</v>
      </c>
      <c r="D53" s="59" t="s">
        <v>47</v>
      </c>
      <c r="E53" s="111" t="s">
        <v>23</v>
      </c>
      <c r="F53" s="113">
        <f>9048+6242</f>
        <v>15290</v>
      </c>
      <c r="G53" s="113">
        <f>12329+639+290</f>
        <v>13258</v>
      </c>
      <c r="H53" s="113">
        <f>159+116+18+27+15+15+15</f>
        <v>365</v>
      </c>
      <c r="I53" s="113">
        <f>F53-(G53+H53)</f>
        <v>1667</v>
      </c>
      <c r="J53" s="113">
        <f>I53</f>
        <v>1667</v>
      </c>
      <c r="K53" s="115" t="s">
        <v>92</v>
      </c>
      <c r="L53" s="103">
        <f>IF(J53&lt;0,0,I53)</f>
        <v>1667</v>
      </c>
      <c r="M53" s="105"/>
      <c r="N53" s="105"/>
      <c r="O53" s="107">
        <v>1988.4549999999999</v>
      </c>
      <c r="P53" s="99">
        <f>O53*O2</f>
        <v>9524.6994500000001</v>
      </c>
      <c r="Q53" s="101">
        <f t="shared" ref="Q53" si="32">L53-O53</f>
        <v>-321.45499999999993</v>
      </c>
      <c r="R53" s="101"/>
      <c r="S53" s="99">
        <f>Q53*O2</f>
        <v>-1539.7694499999996</v>
      </c>
    </row>
    <row r="54" spans="1:19" ht="15.75" hidden="1" customHeight="1" x14ac:dyDescent="0.25">
      <c r="A54" s="57">
        <v>45444</v>
      </c>
      <c r="B54" s="112"/>
      <c r="C54" s="112"/>
      <c r="D54" s="59" t="s">
        <v>48</v>
      </c>
      <c r="E54" s="112"/>
      <c r="F54" s="114"/>
      <c r="G54" s="114"/>
      <c r="H54" s="114"/>
      <c r="I54" s="114"/>
      <c r="J54" s="114"/>
      <c r="K54" s="116"/>
      <c r="L54" s="104"/>
      <c r="M54" s="106"/>
      <c r="N54" s="106"/>
      <c r="O54" s="108"/>
      <c r="P54" s="109"/>
      <c r="Q54" s="102"/>
      <c r="R54" s="102"/>
      <c r="S54" s="109"/>
    </row>
    <row r="55" spans="1:19" ht="15.75" hidden="1" customHeight="1" x14ac:dyDescent="0.25">
      <c r="A55" s="57">
        <v>45474</v>
      </c>
      <c r="B55" s="111">
        <v>8002.7</v>
      </c>
      <c r="C55" s="111">
        <v>2486</v>
      </c>
      <c r="D55" s="59" t="s">
        <v>47</v>
      </c>
      <c r="E55" s="111" t="s">
        <v>23</v>
      </c>
      <c r="F55" s="113">
        <f>9162+6413</f>
        <v>15575</v>
      </c>
      <c r="G55" s="113">
        <f>9665+560+257</f>
        <v>10482</v>
      </c>
      <c r="H55" s="113">
        <f>117+18+27+15+15+15</f>
        <v>207</v>
      </c>
      <c r="I55" s="113">
        <f>F55-(G55+H55)</f>
        <v>4886</v>
      </c>
      <c r="J55" s="113">
        <f t="shared" ref="J55" si="33">I55</f>
        <v>4886</v>
      </c>
      <c r="K55" s="115" t="s">
        <v>93</v>
      </c>
      <c r="L55" s="103">
        <f>IF(J55&lt;0,0,I55)</f>
        <v>4886</v>
      </c>
      <c r="M55" s="105"/>
      <c r="N55" s="105"/>
      <c r="O55" s="107">
        <v>1988.4549999999999</v>
      </c>
      <c r="P55" s="99">
        <f>O55*O3</f>
        <v>10359.850549999999</v>
      </c>
      <c r="Q55" s="101"/>
      <c r="R55" s="101">
        <f>L55-O55</f>
        <v>2897.5450000000001</v>
      </c>
      <c r="S55" s="99">
        <f>R55*O3</f>
        <v>15096.20945</v>
      </c>
    </row>
    <row r="56" spans="1:19" ht="15.75" hidden="1" customHeight="1" x14ac:dyDescent="0.25">
      <c r="A56" s="57">
        <v>45474</v>
      </c>
      <c r="B56" s="112"/>
      <c r="C56" s="112"/>
      <c r="D56" s="59" t="s">
        <v>48</v>
      </c>
      <c r="E56" s="112"/>
      <c r="F56" s="114"/>
      <c r="G56" s="114"/>
      <c r="H56" s="114"/>
      <c r="I56" s="114"/>
      <c r="J56" s="114"/>
      <c r="K56" s="116"/>
      <c r="L56" s="104"/>
      <c r="M56" s="106"/>
      <c r="N56" s="106"/>
      <c r="O56" s="108"/>
      <c r="P56" s="109"/>
      <c r="Q56" s="102"/>
      <c r="R56" s="102"/>
      <c r="S56" s="109"/>
    </row>
    <row r="57" spans="1:19" ht="15.75" hidden="1" customHeight="1" x14ac:dyDescent="0.25">
      <c r="A57" s="57">
        <v>45505</v>
      </c>
      <c r="B57" s="111">
        <v>8002.7</v>
      </c>
      <c r="C57" s="111">
        <v>2486</v>
      </c>
      <c r="D57" s="59" t="s">
        <v>47</v>
      </c>
      <c r="E57" s="111" t="s">
        <v>23</v>
      </c>
      <c r="F57" s="113">
        <f>8953+6182</f>
        <v>15135</v>
      </c>
      <c r="G57" s="113">
        <f>12898+777+355</f>
        <v>14030</v>
      </c>
      <c r="H57" s="113">
        <f>119+18+27+15+15+15</f>
        <v>209</v>
      </c>
      <c r="I57" s="113">
        <f>F57-(G57+H57)</f>
        <v>896</v>
      </c>
      <c r="J57" s="113">
        <f>I57</f>
        <v>896</v>
      </c>
      <c r="K57" s="115" t="s">
        <v>94</v>
      </c>
      <c r="L57" s="103">
        <f>IF(J57&lt;0,0,I57)</f>
        <v>896</v>
      </c>
      <c r="M57" s="105"/>
      <c r="N57" s="105"/>
      <c r="O57" s="107">
        <v>1988.4549999999999</v>
      </c>
      <c r="P57" s="99">
        <f>O57*O3</f>
        <v>10359.850549999999</v>
      </c>
      <c r="Q57" s="101">
        <f t="shared" ref="Q57" si="34">L57-O57</f>
        <v>-1092.4549999999999</v>
      </c>
      <c r="R57" s="101">
        <f>R54+R55</f>
        <v>2897.5450000000001</v>
      </c>
      <c r="S57" s="99">
        <f>S54+S55</f>
        <v>15096.20945</v>
      </c>
    </row>
    <row r="58" spans="1:19" ht="15.75" hidden="1" customHeight="1" x14ac:dyDescent="0.25">
      <c r="A58" s="57">
        <v>45505</v>
      </c>
      <c r="B58" s="112"/>
      <c r="C58" s="112"/>
      <c r="D58" s="59" t="s">
        <v>48</v>
      </c>
      <c r="E58" s="112"/>
      <c r="F58" s="114"/>
      <c r="G58" s="114"/>
      <c r="H58" s="114"/>
      <c r="I58" s="114"/>
      <c r="J58" s="114"/>
      <c r="K58" s="116"/>
      <c r="L58" s="104"/>
      <c r="M58" s="106"/>
      <c r="N58" s="106"/>
      <c r="O58" s="108"/>
      <c r="P58" s="109"/>
      <c r="Q58" s="102"/>
      <c r="R58" s="102"/>
      <c r="S58" s="109"/>
    </row>
    <row r="59" spans="1:19" ht="15.75" hidden="1" customHeight="1" x14ac:dyDescent="0.25">
      <c r="A59" s="57">
        <v>45536</v>
      </c>
      <c r="B59" s="111">
        <v>8002.7</v>
      </c>
      <c r="C59" s="111">
        <v>2486</v>
      </c>
      <c r="D59" s="59" t="s">
        <v>47</v>
      </c>
      <c r="E59" s="111" t="s">
        <v>23</v>
      </c>
      <c r="F59" s="113">
        <f>8271+5597</f>
        <v>13868</v>
      </c>
      <c r="G59" s="113">
        <f>12915+268+78</f>
        <v>13261</v>
      </c>
      <c r="H59" s="113">
        <f>58+145+18+27+15+15+15</f>
        <v>293</v>
      </c>
      <c r="I59" s="113">
        <f t="shared" ref="I59" si="35">F59-(G59+H59)</f>
        <v>314</v>
      </c>
      <c r="J59" s="113">
        <f t="shared" ref="J59" si="36">I59</f>
        <v>314</v>
      </c>
      <c r="K59" s="115" t="s">
        <v>95</v>
      </c>
      <c r="L59" s="103">
        <f>IF(J59&lt;0,0,I59)</f>
        <v>314</v>
      </c>
      <c r="M59" s="105"/>
      <c r="N59" s="105"/>
      <c r="O59" s="107">
        <v>1988.4549999999999</v>
      </c>
      <c r="P59" s="99">
        <f>O59*O3</f>
        <v>10359.850549999999</v>
      </c>
      <c r="Q59" s="101">
        <f t="shared" ref="Q59" si="37">L59-O59</f>
        <v>-1674.4549999999999</v>
      </c>
      <c r="R59" s="101"/>
      <c r="S59" s="99">
        <f>Q59*O3</f>
        <v>-8723.9105499999987</v>
      </c>
    </row>
    <row r="60" spans="1:19" ht="15.75" hidden="1" customHeight="1" x14ac:dyDescent="0.25">
      <c r="A60" s="57">
        <v>45536</v>
      </c>
      <c r="B60" s="112"/>
      <c r="C60" s="112"/>
      <c r="D60" s="59" t="s">
        <v>48</v>
      </c>
      <c r="E60" s="112"/>
      <c r="F60" s="114"/>
      <c r="G60" s="114"/>
      <c r="H60" s="114"/>
      <c r="I60" s="114"/>
      <c r="J60" s="114"/>
      <c r="K60" s="116"/>
      <c r="L60" s="104"/>
      <c r="M60" s="106"/>
      <c r="N60" s="106"/>
      <c r="O60" s="108"/>
      <c r="P60" s="109"/>
      <c r="Q60" s="102"/>
      <c r="R60" s="102"/>
      <c r="S60" s="109"/>
    </row>
    <row r="61" spans="1:19" ht="15.75" hidden="1" customHeight="1" x14ac:dyDescent="0.25">
      <c r="A61" s="57">
        <v>45566</v>
      </c>
      <c r="B61" s="111">
        <v>8002.7</v>
      </c>
      <c r="C61" s="111">
        <v>2486</v>
      </c>
      <c r="D61" s="59" t="s">
        <v>47</v>
      </c>
      <c r="E61" s="111" t="s">
        <v>23</v>
      </c>
      <c r="F61" s="113">
        <f>11140+7538</f>
        <v>18678</v>
      </c>
      <c r="G61" s="113">
        <f>13526+1031+546</f>
        <v>15103</v>
      </c>
      <c r="H61" s="113">
        <f>121+140+18+27+15+15+15</f>
        <v>351</v>
      </c>
      <c r="I61" s="113">
        <f t="shared" ref="I61" si="38">F61-(G61+H61)</f>
        <v>3224</v>
      </c>
      <c r="J61" s="113">
        <f t="shared" ref="J61" si="39">I61</f>
        <v>3224</v>
      </c>
      <c r="K61" s="115" t="s">
        <v>96</v>
      </c>
      <c r="L61" s="103">
        <f>IF(J61&lt;0,0,I61)</f>
        <v>3224</v>
      </c>
      <c r="M61" s="105"/>
      <c r="N61" s="105"/>
      <c r="O61" s="107">
        <v>1988.4549999999999</v>
      </c>
      <c r="P61" s="99">
        <f>O61*O3</f>
        <v>10359.850549999999</v>
      </c>
      <c r="Q61" s="101"/>
      <c r="R61" s="101">
        <f>L61-O61</f>
        <v>1235.5450000000001</v>
      </c>
      <c r="S61" s="99">
        <f>R61*O3</f>
        <v>6437.1894500000008</v>
      </c>
    </row>
    <row r="62" spans="1:19" ht="15.75" hidden="1" customHeight="1" x14ac:dyDescent="0.25">
      <c r="A62" s="57">
        <v>45566</v>
      </c>
      <c r="B62" s="112"/>
      <c r="C62" s="112"/>
      <c r="D62" s="59" t="s">
        <v>48</v>
      </c>
      <c r="E62" s="112"/>
      <c r="F62" s="114"/>
      <c r="G62" s="114"/>
      <c r="H62" s="114"/>
      <c r="I62" s="114"/>
      <c r="J62" s="114"/>
      <c r="K62" s="116"/>
      <c r="L62" s="104"/>
      <c r="M62" s="106"/>
      <c r="N62" s="106"/>
      <c r="O62" s="108"/>
      <c r="P62" s="109"/>
      <c r="Q62" s="102"/>
      <c r="R62" s="102"/>
      <c r="S62" s="109"/>
    </row>
    <row r="63" spans="1:19" ht="15.75" hidden="1" customHeight="1" x14ac:dyDescent="0.25">
      <c r="A63" s="57">
        <v>45597</v>
      </c>
      <c r="B63" s="111">
        <v>8002.7</v>
      </c>
      <c r="C63" s="111">
        <v>2486</v>
      </c>
      <c r="D63" s="59" t="s">
        <v>47</v>
      </c>
      <c r="E63" s="111" t="s">
        <v>23</v>
      </c>
      <c r="F63" s="113">
        <f>10065+6114</f>
        <v>16179</v>
      </c>
      <c r="G63" s="113">
        <f>13680+685+225</f>
        <v>14590</v>
      </c>
      <c r="H63" s="113">
        <f>59+153+18+27+15+15+15</f>
        <v>302</v>
      </c>
      <c r="I63" s="113">
        <f t="shared" ref="I63" si="40">F63-(G63+H63)</f>
        <v>1287</v>
      </c>
      <c r="J63" s="113">
        <f t="shared" ref="J63" si="41">I63</f>
        <v>1287</v>
      </c>
      <c r="K63" s="115" t="s">
        <v>97</v>
      </c>
      <c r="L63" s="103">
        <f>IF(J63&lt;0,0,I63)</f>
        <v>1287</v>
      </c>
      <c r="M63" s="105"/>
      <c r="N63" s="105"/>
      <c r="O63" s="107">
        <v>1988.4549999999999</v>
      </c>
      <c r="P63" s="99">
        <f>O63*O3</f>
        <v>10359.850549999999</v>
      </c>
      <c r="Q63" s="101">
        <f t="shared" ref="Q63" si="42">L63-O63</f>
        <v>-701.45499999999993</v>
      </c>
      <c r="R63" s="101"/>
      <c r="S63" s="99">
        <f>Q63*O3</f>
        <v>-3654.5805499999997</v>
      </c>
    </row>
    <row r="64" spans="1:19" ht="15.75" hidden="1" customHeight="1" x14ac:dyDescent="0.25">
      <c r="A64" s="57">
        <v>45597</v>
      </c>
      <c r="B64" s="112"/>
      <c r="C64" s="112"/>
      <c r="D64" s="59" t="s">
        <v>48</v>
      </c>
      <c r="E64" s="112"/>
      <c r="F64" s="114"/>
      <c r="G64" s="114"/>
      <c r="H64" s="114"/>
      <c r="I64" s="114"/>
      <c r="J64" s="114"/>
      <c r="K64" s="116"/>
      <c r="L64" s="104"/>
      <c r="M64" s="106"/>
      <c r="N64" s="106"/>
      <c r="O64" s="108"/>
      <c r="P64" s="109"/>
      <c r="Q64" s="102"/>
      <c r="R64" s="102"/>
      <c r="S64" s="109"/>
    </row>
    <row r="65" spans="1:19" ht="15.75" hidden="1" customHeight="1" x14ac:dyDescent="0.25">
      <c r="A65" s="57">
        <v>45627</v>
      </c>
      <c r="B65" s="111">
        <v>8002.7</v>
      </c>
      <c r="C65" s="111">
        <v>2486</v>
      </c>
      <c r="D65" s="59" t="s">
        <v>47</v>
      </c>
      <c r="E65" s="111" t="s">
        <v>23</v>
      </c>
      <c r="F65" s="113">
        <f>10663+6996</f>
        <v>17659</v>
      </c>
      <c r="G65" s="113">
        <f>13457+563+200</f>
        <v>14220</v>
      </c>
      <c r="H65" s="113">
        <f>80+169+18+27+15+15+15</f>
        <v>339</v>
      </c>
      <c r="I65" s="113">
        <f>F65-(G65+H65)</f>
        <v>3100</v>
      </c>
      <c r="J65" s="113">
        <f t="shared" ref="J65" si="43">I65</f>
        <v>3100</v>
      </c>
      <c r="K65" s="115" t="s">
        <v>98</v>
      </c>
      <c r="L65" s="103">
        <f>IF(J65&lt;0,0,I65)</f>
        <v>3100</v>
      </c>
      <c r="M65" s="105"/>
      <c r="N65" s="105"/>
      <c r="O65" s="107">
        <v>1988.4549999999999</v>
      </c>
      <c r="P65" s="99">
        <f>O65*O3</f>
        <v>10359.850549999999</v>
      </c>
      <c r="Q65" s="101"/>
      <c r="R65" s="101">
        <f>L65-O65</f>
        <v>1111.5450000000001</v>
      </c>
      <c r="S65" s="99">
        <f>R65*O3</f>
        <v>5791.1494499999999</v>
      </c>
    </row>
    <row r="66" spans="1:19" ht="15.75" hidden="1" customHeight="1" x14ac:dyDescent="0.25">
      <c r="A66" s="57">
        <v>45627</v>
      </c>
      <c r="B66" s="112"/>
      <c r="C66" s="112"/>
      <c r="D66" s="59" t="s">
        <v>48</v>
      </c>
      <c r="E66" s="112"/>
      <c r="F66" s="114"/>
      <c r="G66" s="114"/>
      <c r="H66" s="114"/>
      <c r="I66" s="114"/>
      <c r="J66" s="114"/>
      <c r="K66" s="116"/>
      <c r="L66" s="104"/>
      <c r="M66" s="106"/>
      <c r="N66" s="106"/>
      <c r="O66" s="108"/>
      <c r="P66" s="109"/>
      <c r="Q66" s="102"/>
      <c r="R66" s="102"/>
      <c r="S66" s="109"/>
    </row>
    <row r="67" spans="1:19" ht="31.5" hidden="1" customHeight="1" x14ac:dyDescent="0.25">
      <c r="L67" s="73">
        <f>SUM(L43:L66)</f>
        <v>25311</v>
      </c>
      <c r="O67" s="56">
        <f>SUM(O43:O65)</f>
        <v>23861.460000000006</v>
      </c>
      <c r="P67" s="20">
        <f>SUM(P43:P65)</f>
        <v>119307.30000000002</v>
      </c>
      <c r="Q67" s="56"/>
      <c r="R67" s="56">
        <f>SUM(Q43:R54)</f>
        <v>-326.72999999999956</v>
      </c>
      <c r="S67" s="20">
        <f>SUM(S43:S66)</f>
        <v>28477.23000000001</v>
      </c>
    </row>
    <row r="68" spans="1:19" ht="31.5" hidden="1" customHeight="1" x14ac:dyDescent="0.25">
      <c r="L68" s="20"/>
      <c r="R68" s="56">
        <f>SUM(Q55:R66)</f>
        <v>4673.8150000000005</v>
      </c>
    </row>
    <row r="69" spans="1:19" hidden="1" x14ac:dyDescent="0.25"/>
    <row r="70" spans="1:19" ht="15.75" customHeight="1" x14ac:dyDescent="0.25">
      <c r="A70" s="57">
        <v>45658</v>
      </c>
      <c r="B70" s="111">
        <v>8002.7</v>
      </c>
      <c r="C70" s="111">
        <v>2486</v>
      </c>
      <c r="D70" s="59" t="s">
        <v>47</v>
      </c>
      <c r="E70" s="111" t="s">
        <v>23</v>
      </c>
      <c r="F70" s="113">
        <f>9959+6533</f>
        <v>16492</v>
      </c>
      <c r="G70" s="113">
        <f>13901+830+296</f>
        <v>15027</v>
      </c>
      <c r="H70" s="113">
        <f>95+162+18+27+15+15+15</f>
        <v>347</v>
      </c>
      <c r="I70" s="113">
        <f>F70-(G70+H70)</f>
        <v>1118</v>
      </c>
      <c r="J70" s="113">
        <f>I70</f>
        <v>1118</v>
      </c>
      <c r="K70" s="115" t="s">
        <v>103</v>
      </c>
      <c r="L70" s="103">
        <f>I70</f>
        <v>1118</v>
      </c>
      <c r="M70" s="105"/>
      <c r="N70" s="105"/>
      <c r="O70" s="107">
        <v>1988.4549999999999</v>
      </c>
      <c r="P70" s="99">
        <f>O70*R2</f>
        <v>10359.850549999999</v>
      </c>
      <c r="Q70" s="101">
        <f>L70-O70</f>
        <v>-870.45499999999993</v>
      </c>
      <c r="R70" s="101"/>
      <c r="S70" s="99">
        <f>Q70*R2</f>
        <v>-4535.0705499999995</v>
      </c>
    </row>
    <row r="71" spans="1:19" ht="15.75" customHeight="1" x14ac:dyDescent="0.25">
      <c r="A71" s="57">
        <v>45658</v>
      </c>
      <c r="B71" s="112"/>
      <c r="C71" s="112"/>
      <c r="D71" s="59" t="s">
        <v>48</v>
      </c>
      <c r="E71" s="112"/>
      <c r="F71" s="114"/>
      <c r="G71" s="114"/>
      <c r="H71" s="114"/>
      <c r="I71" s="114"/>
      <c r="J71" s="114"/>
      <c r="K71" s="116"/>
      <c r="L71" s="104"/>
      <c r="M71" s="106"/>
      <c r="N71" s="106"/>
      <c r="O71" s="108"/>
      <c r="P71" s="109"/>
      <c r="Q71" s="102"/>
      <c r="R71" s="102"/>
      <c r="S71" s="109"/>
    </row>
    <row r="72" spans="1:19" ht="15.75" customHeight="1" x14ac:dyDescent="0.25">
      <c r="A72" s="57">
        <v>45689</v>
      </c>
      <c r="B72" s="111">
        <v>8002.7</v>
      </c>
      <c r="C72" s="111">
        <v>2486</v>
      </c>
      <c r="D72" s="59" t="s">
        <v>47</v>
      </c>
      <c r="E72" s="111" t="s">
        <v>23</v>
      </c>
      <c r="F72" s="113">
        <f>11307+7360</f>
        <v>18667</v>
      </c>
      <c r="G72" s="113">
        <f>12660+681+259</f>
        <v>13600</v>
      </c>
      <c r="H72" s="113">
        <f>0+57+160+18+27+15+15+15</f>
        <v>307</v>
      </c>
      <c r="I72" s="113">
        <f t="shared" ref="I72" si="44">F72-(G72+H72)</f>
        <v>4760</v>
      </c>
      <c r="J72" s="113">
        <f t="shared" ref="J72" si="45">I72</f>
        <v>4760</v>
      </c>
      <c r="K72" s="115" t="s">
        <v>104</v>
      </c>
      <c r="L72" s="103">
        <f>J72</f>
        <v>4760</v>
      </c>
      <c r="M72" s="105"/>
      <c r="N72" s="105"/>
      <c r="O72" s="107">
        <v>1988.4549999999999</v>
      </c>
      <c r="P72" s="99">
        <f>O72*R2</f>
        <v>10359.850549999999</v>
      </c>
      <c r="Q72" s="101"/>
      <c r="R72" s="101">
        <f>L72-O72</f>
        <v>2771.5450000000001</v>
      </c>
      <c r="S72" s="99">
        <f>R72*R2</f>
        <v>14439.749450000001</v>
      </c>
    </row>
    <row r="73" spans="1:19" ht="15.75" customHeight="1" x14ac:dyDescent="0.25">
      <c r="A73" s="57">
        <v>45689</v>
      </c>
      <c r="B73" s="112"/>
      <c r="C73" s="112"/>
      <c r="D73" s="59" t="s">
        <v>48</v>
      </c>
      <c r="E73" s="112"/>
      <c r="F73" s="114"/>
      <c r="G73" s="114"/>
      <c r="H73" s="114"/>
      <c r="I73" s="114"/>
      <c r="J73" s="114"/>
      <c r="K73" s="116"/>
      <c r="L73" s="104"/>
      <c r="M73" s="106"/>
      <c r="N73" s="106"/>
      <c r="O73" s="108"/>
      <c r="P73" s="109"/>
      <c r="Q73" s="102"/>
      <c r="R73" s="102"/>
      <c r="S73" s="109"/>
    </row>
    <row r="74" spans="1:19" ht="15.75" customHeight="1" x14ac:dyDescent="0.25">
      <c r="A74" s="57">
        <v>45717</v>
      </c>
      <c r="B74" s="111">
        <v>8002.7</v>
      </c>
      <c r="C74" s="111">
        <v>2486</v>
      </c>
      <c r="D74" s="59" t="s">
        <v>47</v>
      </c>
      <c r="E74" s="111" t="s">
        <v>23</v>
      </c>
      <c r="F74" s="113">
        <f>9355+5424</f>
        <v>14779</v>
      </c>
      <c r="G74" s="113">
        <f>12427+782+252</f>
        <v>13461</v>
      </c>
      <c r="H74" s="113">
        <f>65+151+18+27+15+15+15</f>
        <v>306</v>
      </c>
      <c r="I74" s="113">
        <f>F74-(G74+H74)</f>
        <v>1012</v>
      </c>
      <c r="J74" s="113">
        <f>I74</f>
        <v>1012</v>
      </c>
      <c r="K74" s="115" t="s">
        <v>105</v>
      </c>
      <c r="L74" s="103">
        <f>J74</f>
        <v>1012</v>
      </c>
      <c r="M74" s="105"/>
      <c r="N74" s="105"/>
      <c r="O74" s="107">
        <v>1988.4549999999999</v>
      </c>
      <c r="P74" s="99">
        <f>O74*R2</f>
        <v>10359.850549999999</v>
      </c>
      <c r="Q74" s="101">
        <f>L74-O74</f>
        <v>-976.45499999999993</v>
      </c>
      <c r="R74" s="101"/>
      <c r="S74" s="99">
        <f>Q74*R2</f>
        <v>-5087.3305499999997</v>
      </c>
    </row>
    <row r="75" spans="1:19" ht="15.75" customHeight="1" x14ac:dyDescent="0.25">
      <c r="A75" s="57">
        <v>45717</v>
      </c>
      <c r="B75" s="112"/>
      <c r="C75" s="112"/>
      <c r="D75" s="59" t="s">
        <v>48</v>
      </c>
      <c r="E75" s="112"/>
      <c r="F75" s="114"/>
      <c r="G75" s="114"/>
      <c r="H75" s="114"/>
      <c r="I75" s="114"/>
      <c r="J75" s="114"/>
      <c r="K75" s="116"/>
      <c r="L75" s="104"/>
      <c r="M75" s="106"/>
      <c r="N75" s="106"/>
      <c r="O75" s="108"/>
      <c r="P75" s="109"/>
      <c r="Q75" s="102"/>
      <c r="R75" s="102"/>
      <c r="S75" s="109"/>
    </row>
    <row r="76" spans="1:19" ht="15.75" customHeight="1" x14ac:dyDescent="0.25">
      <c r="A76" s="57">
        <v>45748</v>
      </c>
      <c r="B76" s="111">
        <v>8002.7</v>
      </c>
      <c r="C76" s="111">
        <v>2486</v>
      </c>
      <c r="D76" s="59" t="s">
        <v>47</v>
      </c>
      <c r="E76" s="111" t="s">
        <v>23</v>
      </c>
      <c r="F76" s="113">
        <f>9908+5866</f>
        <v>15774</v>
      </c>
      <c r="G76" s="113">
        <f>13340+816+312</f>
        <v>14468</v>
      </c>
      <c r="H76" s="113">
        <f>66+151+18+27+15+15+15</f>
        <v>307</v>
      </c>
      <c r="I76" s="113">
        <f>F76-(G76+H76)</f>
        <v>999</v>
      </c>
      <c r="J76" s="113">
        <f>I76</f>
        <v>999</v>
      </c>
      <c r="K76" s="115" t="s">
        <v>106</v>
      </c>
      <c r="L76" s="103">
        <f>I76</f>
        <v>999</v>
      </c>
      <c r="M76" s="105"/>
      <c r="N76" s="105"/>
      <c r="O76" s="107">
        <v>1988.4549999999999</v>
      </c>
      <c r="P76" s="99">
        <f>O76*R2</f>
        <v>10359.850549999999</v>
      </c>
      <c r="Q76" s="101"/>
      <c r="R76" s="101">
        <f>L76-O76</f>
        <v>-989.45499999999993</v>
      </c>
      <c r="S76" s="99">
        <f>R76*R2</f>
        <v>-5155.0605499999992</v>
      </c>
    </row>
    <row r="77" spans="1:19" ht="15.75" customHeight="1" x14ac:dyDescent="0.25">
      <c r="A77" s="57">
        <v>45748</v>
      </c>
      <c r="B77" s="112"/>
      <c r="C77" s="112"/>
      <c r="D77" s="59" t="s">
        <v>48</v>
      </c>
      <c r="E77" s="112"/>
      <c r="F77" s="114"/>
      <c r="G77" s="114"/>
      <c r="H77" s="114"/>
      <c r="I77" s="114"/>
      <c r="J77" s="114"/>
      <c r="K77" s="116"/>
      <c r="L77" s="104"/>
      <c r="M77" s="106"/>
      <c r="N77" s="106"/>
      <c r="O77" s="108"/>
      <c r="P77" s="109"/>
      <c r="Q77" s="102"/>
      <c r="R77" s="102"/>
      <c r="S77" s="109"/>
    </row>
    <row r="78" spans="1:19" ht="15.75" customHeight="1" x14ac:dyDescent="0.25">
      <c r="A78" s="57">
        <v>45778</v>
      </c>
      <c r="B78" s="111">
        <v>8002.7</v>
      </c>
      <c r="C78" s="111">
        <v>2486</v>
      </c>
      <c r="D78" s="59" t="s">
        <v>47</v>
      </c>
      <c r="E78" s="111" t="s">
        <v>23</v>
      </c>
      <c r="F78" s="113">
        <f>9211+5803</f>
        <v>15014</v>
      </c>
      <c r="G78" s="113">
        <f>13898+630+214</f>
        <v>14742</v>
      </c>
      <c r="H78" s="113">
        <f>73+118+18+27+15+15+15</f>
        <v>281</v>
      </c>
      <c r="I78" s="113">
        <f>F78-(G78+H78)</f>
        <v>-9</v>
      </c>
      <c r="J78" s="113">
        <f>I78</f>
        <v>-9</v>
      </c>
      <c r="K78" s="115" t="s">
        <v>107</v>
      </c>
      <c r="L78" s="103">
        <f>IF(J78&lt;0,0,I78)</f>
        <v>0</v>
      </c>
      <c r="M78" s="105"/>
      <c r="N78" s="105"/>
      <c r="O78" s="107">
        <v>1988.4549999999999</v>
      </c>
      <c r="P78" s="99">
        <f>O78*R2</f>
        <v>10359.850549999999</v>
      </c>
      <c r="Q78" s="101">
        <f t="shared" ref="Q78" si="46">L78-O78</f>
        <v>-1988.4549999999999</v>
      </c>
      <c r="R78" s="101"/>
      <c r="S78" s="99">
        <f>Q78*R2</f>
        <v>-10359.850549999999</v>
      </c>
    </row>
    <row r="79" spans="1:19" ht="15.75" customHeight="1" x14ac:dyDescent="0.25">
      <c r="A79" s="57">
        <v>45778</v>
      </c>
      <c r="B79" s="112"/>
      <c r="C79" s="112"/>
      <c r="D79" s="59" t="s">
        <v>48</v>
      </c>
      <c r="E79" s="112"/>
      <c r="F79" s="114"/>
      <c r="G79" s="114"/>
      <c r="H79" s="114"/>
      <c r="I79" s="114"/>
      <c r="J79" s="114"/>
      <c r="K79" s="116"/>
      <c r="L79" s="104"/>
      <c r="M79" s="106"/>
      <c r="N79" s="106"/>
      <c r="O79" s="108"/>
      <c r="P79" s="109"/>
      <c r="Q79" s="102"/>
      <c r="R79" s="102"/>
      <c r="S79" s="109"/>
    </row>
    <row r="80" spans="1:19" ht="15.75" customHeight="1" x14ac:dyDescent="0.25">
      <c r="A80" s="57">
        <v>45809</v>
      </c>
      <c r="B80" s="111">
        <v>8002.7</v>
      </c>
      <c r="C80" s="111">
        <v>2486</v>
      </c>
      <c r="D80" s="59" t="s">
        <v>47</v>
      </c>
      <c r="E80" s="111" t="s">
        <v>23</v>
      </c>
      <c r="F80" s="113">
        <f>9545+6315</f>
        <v>15860</v>
      </c>
      <c r="G80" s="113">
        <f>11465+623+304</f>
        <v>12392</v>
      </c>
      <c r="H80" s="113">
        <f>70+129+18+27+15+15+15</f>
        <v>289</v>
      </c>
      <c r="I80" s="113">
        <f>F80-(G80+H80)</f>
        <v>3179</v>
      </c>
      <c r="J80" s="113">
        <f>I80+J78</f>
        <v>3170</v>
      </c>
      <c r="K80" s="115" t="s">
        <v>108</v>
      </c>
      <c r="L80" s="103">
        <f>I80+J78</f>
        <v>3170</v>
      </c>
      <c r="M80" s="105"/>
      <c r="N80" s="105"/>
      <c r="O80" s="107">
        <v>1988.4549999999999</v>
      </c>
      <c r="P80" s="99">
        <f>O80*R2</f>
        <v>10359.850549999999</v>
      </c>
      <c r="Q80" s="101"/>
      <c r="R80" s="101">
        <f>L80-O80</f>
        <v>1181.5450000000001</v>
      </c>
      <c r="S80" s="99">
        <f>R80*R2</f>
        <v>6155.8494500000006</v>
      </c>
    </row>
    <row r="81" spans="1:19" ht="15.75" customHeight="1" x14ac:dyDescent="0.25">
      <c r="A81" s="57">
        <v>45809</v>
      </c>
      <c r="B81" s="112"/>
      <c r="C81" s="112"/>
      <c r="D81" s="59" t="s">
        <v>48</v>
      </c>
      <c r="E81" s="112"/>
      <c r="F81" s="114"/>
      <c r="G81" s="114"/>
      <c r="H81" s="114"/>
      <c r="I81" s="114"/>
      <c r="J81" s="114"/>
      <c r="K81" s="116"/>
      <c r="L81" s="104"/>
      <c r="M81" s="106"/>
      <c r="N81" s="106"/>
      <c r="O81" s="108"/>
      <c r="P81" s="109"/>
      <c r="Q81" s="102"/>
      <c r="R81" s="102"/>
      <c r="S81" s="109"/>
    </row>
    <row r="82" spans="1:19" ht="15.75" customHeight="1" x14ac:dyDescent="0.25">
      <c r="A82" s="57">
        <v>45839</v>
      </c>
      <c r="B82" s="111">
        <v>8002.7</v>
      </c>
      <c r="C82" s="111">
        <v>2486</v>
      </c>
      <c r="D82" s="59" t="s">
        <v>47</v>
      </c>
      <c r="E82" s="111" t="s">
        <v>23</v>
      </c>
      <c r="F82" s="113">
        <f>8525+6143</f>
        <v>14668</v>
      </c>
      <c r="G82" s="113">
        <f>11202+455+217</f>
        <v>11874</v>
      </c>
      <c r="H82" s="113">
        <f>117+18+27+15+15+15</f>
        <v>207</v>
      </c>
      <c r="I82" s="113">
        <f>F82-(G82+H82)</f>
        <v>2587</v>
      </c>
      <c r="J82" s="113">
        <f t="shared" ref="J82" si="47">I82</f>
        <v>2587</v>
      </c>
      <c r="K82" s="115" t="s">
        <v>109</v>
      </c>
      <c r="L82" s="103">
        <f>IF(J82&lt;0,0,I82)</f>
        <v>2587</v>
      </c>
      <c r="M82" s="105"/>
      <c r="N82" s="105"/>
      <c r="O82" s="107">
        <v>1988.4549999999999</v>
      </c>
      <c r="P82" s="99">
        <f>O82*R3</f>
        <v>11652.346300000001</v>
      </c>
      <c r="Q82" s="101"/>
      <c r="R82" s="101">
        <f>L82-O82</f>
        <v>598.54500000000007</v>
      </c>
      <c r="S82" s="99">
        <f>R82*R3</f>
        <v>3507.4737000000005</v>
      </c>
    </row>
    <row r="83" spans="1:19" ht="15.75" customHeight="1" x14ac:dyDescent="0.25">
      <c r="A83" s="57">
        <v>45839</v>
      </c>
      <c r="B83" s="112"/>
      <c r="C83" s="112"/>
      <c r="D83" s="59" t="s">
        <v>48</v>
      </c>
      <c r="E83" s="112"/>
      <c r="F83" s="114"/>
      <c r="G83" s="114"/>
      <c r="H83" s="114"/>
      <c r="I83" s="114"/>
      <c r="J83" s="114"/>
      <c r="K83" s="116"/>
      <c r="L83" s="104"/>
      <c r="M83" s="106"/>
      <c r="N83" s="106"/>
      <c r="O83" s="108"/>
      <c r="P83" s="109"/>
      <c r="Q83" s="102"/>
      <c r="R83" s="102"/>
      <c r="S83" s="109"/>
    </row>
    <row r="84" spans="1:19" ht="15.75" customHeight="1" x14ac:dyDescent="0.25">
      <c r="A84" s="57">
        <v>45870</v>
      </c>
      <c r="B84" s="111">
        <v>8002.7</v>
      </c>
      <c r="C84" s="111">
        <v>2486</v>
      </c>
      <c r="D84" s="59" t="s">
        <v>47</v>
      </c>
      <c r="E84" s="111" t="s">
        <v>23</v>
      </c>
      <c r="F84" s="113">
        <f>9571+6646</f>
        <v>16217</v>
      </c>
      <c r="G84" s="113">
        <f>13218+661+270</f>
        <v>14149</v>
      </c>
      <c r="H84" s="113">
        <f>119+18+27+15+15+15</f>
        <v>209</v>
      </c>
      <c r="I84" s="113">
        <f>F84-(G84+H84)</f>
        <v>1859</v>
      </c>
      <c r="J84" s="113">
        <f>I84</f>
        <v>1859</v>
      </c>
      <c r="K84" s="115" t="s">
        <v>113</v>
      </c>
      <c r="L84" s="103">
        <f>IF(J84&lt;0,0,I84)</f>
        <v>1859</v>
      </c>
      <c r="M84" s="105"/>
      <c r="N84" s="105"/>
      <c r="O84" s="107">
        <v>1988.4549999999999</v>
      </c>
      <c r="P84" s="99">
        <f>O84*R3</f>
        <v>11652.346300000001</v>
      </c>
      <c r="Q84" s="101">
        <f t="shared" ref="Q84" si="48">L84-O84</f>
        <v>-129.45499999999993</v>
      </c>
      <c r="R84" s="101"/>
      <c r="S84" s="99">
        <f>Q84*R3</f>
        <v>-758.60629999999958</v>
      </c>
    </row>
    <row r="85" spans="1:19" ht="15.75" customHeight="1" x14ac:dyDescent="0.25">
      <c r="A85" s="57">
        <v>45870</v>
      </c>
      <c r="B85" s="112"/>
      <c r="C85" s="112"/>
      <c r="D85" s="59" t="s">
        <v>48</v>
      </c>
      <c r="E85" s="112"/>
      <c r="F85" s="114"/>
      <c r="G85" s="114"/>
      <c r="H85" s="114"/>
      <c r="I85" s="114"/>
      <c r="J85" s="114"/>
      <c r="K85" s="116"/>
      <c r="L85" s="104"/>
      <c r="M85" s="106"/>
      <c r="N85" s="106"/>
      <c r="O85" s="108"/>
      <c r="P85" s="109"/>
      <c r="Q85" s="102"/>
      <c r="R85" s="102"/>
      <c r="S85" s="109"/>
    </row>
    <row r="86" spans="1:19" ht="15.75" customHeight="1" x14ac:dyDescent="0.25">
      <c r="A86" s="57">
        <v>45901</v>
      </c>
      <c r="B86" s="111">
        <v>8002.7</v>
      </c>
      <c r="C86" s="111">
        <v>2486</v>
      </c>
      <c r="D86" s="59" t="s">
        <v>47</v>
      </c>
      <c r="E86" s="111" t="s">
        <v>23</v>
      </c>
      <c r="F86" s="113">
        <f>9155+7028</f>
        <v>16183</v>
      </c>
      <c r="G86" s="113">
        <f>13286+767+316</f>
        <v>14369</v>
      </c>
      <c r="H86" s="113">
        <f>145+18+27+15+15+15</f>
        <v>235</v>
      </c>
      <c r="I86" s="113">
        <f t="shared" ref="I86" si="49">F86-(G86+H86)</f>
        <v>1579</v>
      </c>
      <c r="J86" s="113">
        <f t="shared" ref="J86" si="50">I86</f>
        <v>1579</v>
      </c>
      <c r="K86" s="115" t="s">
        <v>110</v>
      </c>
      <c r="L86" s="103">
        <f>IF(J86&lt;0,0,I86)</f>
        <v>1579</v>
      </c>
      <c r="M86" s="105"/>
      <c r="N86" s="105"/>
      <c r="O86" s="107">
        <v>1988.4549999999999</v>
      </c>
      <c r="P86" s="99">
        <f>O86*R3</f>
        <v>11652.346300000001</v>
      </c>
      <c r="Q86" s="101">
        <f t="shared" ref="Q86" si="51">L86-O86</f>
        <v>-409.45499999999993</v>
      </c>
      <c r="R86" s="101"/>
      <c r="S86" s="99">
        <f>Q86*R3</f>
        <v>-2399.4062999999996</v>
      </c>
    </row>
    <row r="87" spans="1:19" ht="15.75" customHeight="1" x14ac:dyDescent="0.25">
      <c r="A87" s="57">
        <v>45901</v>
      </c>
      <c r="B87" s="112"/>
      <c r="C87" s="112"/>
      <c r="D87" s="59" t="s">
        <v>48</v>
      </c>
      <c r="E87" s="112"/>
      <c r="F87" s="114"/>
      <c r="G87" s="114"/>
      <c r="H87" s="114"/>
      <c r="I87" s="114"/>
      <c r="J87" s="114"/>
      <c r="K87" s="116"/>
      <c r="L87" s="104"/>
      <c r="M87" s="106"/>
      <c r="N87" s="106"/>
      <c r="O87" s="108"/>
      <c r="P87" s="109"/>
      <c r="Q87" s="102"/>
      <c r="R87" s="102"/>
      <c r="S87" s="109"/>
    </row>
    <row r="88" spans="1:19" ht="15.75" customHeight="1" x14ac:dyDescent="0.25">
      <c r="A88" s="57">
        <v>45931</v>
      </c>
      <c r="B88" s="111">
        <v>8002.7</v>
      </c>
      <c r="C88" s="111">
        <v>2486</v>
      </c>
      <c r="D88" s="59" t="s">
        <v>47</v>
      </c>
      <c r="E88" s="111" t="s">
        <v>23</v>
      </c>
      <c r="F88" s="113">
        <f>10108+7070</f>
        <v>17178</v>
      </c>
      <c r="G88" s="113">
        <f>12808+905+370</f>
        <v>14083</v>
      </c>
      <c r="H88" s="113">
        <f>140+18+27+15+15+15</f>
        <v>230</v>
      </c>
      <c r="I88" s="113">
        <f t="shared" ref="I88" si="52">F88-(G88+H88)</f>
        <v>2865</v>
      </c>
      <c r="J88" s="113">
        <f t="shared" ref="J88" si="53">I88</f>
        <v>2865</v>
      </c>
      <c r="K88" s="115" t="s">
        <v>111</v>
      </c>
      <c r="L88" s="103">
        <f>IF(J88&lt;0,0,I88)</f>
        <v>2865</v>
      </c>
      <c r="M88" s="105"/>
      <c r="N88" s="105"/>
      <c r="O88" s="107">
        <v>1988.4549999999999</v>
      </c>
      <c r="P88" s="99">
        <f>O88*R3</f>
        <v>11652.346300000001</v>
      </c>
      <c r="Q88" s="101"/>
      <c r="R88" s="101">
        <f>L88-O88</f>
        <v>876.54500000000007</v>
      </c>
      <c r="S88" s="99">
        <f>R88*R3</f>
        <v>5136.5537000000004</v>
      </c>
    </row>
    <row r="89" spans="1:19" ht="15.75" customHeight="1" x14ac:dyDescent="0.25">
      <c r="A89" s="57">
        <v>45931</v>
      </c>
      <c r="B89" s="112"/>
      <c r="C89" s="112"/>
      <c r="D89" s="59" t="s">
        <v>48</v>
      </c>
      <c r="E89" s="112"/>
      <c r="F89" s="114"/>
      <c r="G89" s="114"/>
      <c r="H89" s="114"/>
      <c r="I89" s="114"/>
      <c r="J89" s="114"/>
      <c r="K89" s="116"/>
      <c r="L89" s="104"/>
      <c r="M89" s="106"/>
      <c r="N89" s="106"/>
      <c r="O89" s="108"/>
      <c r="P89" s="109"/>
      <c r="Q89" s="102"/>
      <c r="R89" s="102"/>
      <c r="S89" s="109"/>
    </row>
    <row r="90" spans="1:19" ht="15.75" customHeight="1" x14ac:dyDescent="0.25">
      <c r="A90" s="57">
        <v>45962</v>
      </c>
      <c r="B90" s="111">
        <v>8002.7</v>
      </c>
      <c r="C90" s="111">
        <v>2486</v>
      </c>
      <c r="D90" s="59" t="s">
        <v>47</v>
      </c>
      <c r="E90" s="111" t="s">
        <v>23</v>
      </c>
      <c r="F90" s="113">
        <f>10774+7097</f>
        <v>17871</v>
      </c>
      <c r="G90" s="113">
        <f>13514+842+317</f>
        <v>14673</v>
      </c>
      <c r="H90" s="113">
        <f>153+18+27+15+15+15</f>
        <v>243</v>
      </c>
      <c r="I90" s="113">
        <f t="shared" ref="I90" si="54">F90-(G90+H90)</f>
        <v>2955</v>
      </c>
      <c r="J90" s="113">
        <f t="shared" ref="J90" si="55">I90</f>
        <v>2955</v>
      </c>
      <c r="K90" s="115" t="s">
        <v>114</v>
      </c>
      <c r="L90" s="103">
        <f>IF(J90&lt;0,0,I90)</f>
        <v>2955</v>
      </c>
      <c r="M90" s="105"/>
      <c r="N90" s="105"/>
      <c r="O90" s="107">
        <v>1988.4549999999999</v>
      </c>
      <c r="P90" s="99">
        <f>O90*R3</f>
        <v>11652.346300000001</v>
      </c>
      <c r="Q90" s="101"/>
      <c r="R90" s="101">
        <f>L90-O90</f>
        <v>966.54500000000007</v>
      </c>
      <c r="S90" s="99">
        <f>R90*R3</f>
        <v>5663.9537000000009</v>
      </c>
    </row>
    <row r="91" spans="1:19" ht="15.75" customHeight="1" x14ac:dyDescent="0.25">
      <c r="A91" s="57">
        <v>45962</v>
      </c>
      <c r="B91" s="112"/>
      <c r="C91" s="112"/>
      <c r="D91" s="59" t="s">
        <v>48</v>
      </c>
      <c r="E91" s="112"/>
      <c r="F91" s="114"/>
      <c r="G91" s="114"/>
      <c r="H91" s="114"/>
      <c r="I91" s="114"/>
      <c r="J91" s="114"/>
      <c r="K91" s="116"/>
      <c r="L91" s="104"/>
      <c r="M91" s="106"/>
      <c r="N91" s="106"/>
      <c r="O91" s="108"/>
      <c r="P91" s="109"/>
      <c r="Q91" s="102"/>
      <c r="R91" s="102"/>
      <c r="S91" s="109"/>
    </row>
    <row r="92" spans="1:19" ht="15.75" customHeight="1" x14ac:dyDescent="0.25">
      <c r="A92" s="57">
        <v>45992</v>
      </c>
      <c r="B92" s="111">
        <v>8002.7</v>
      </c>
      <c r="C92" s="111">
        <v>2486</v>
      </c>
      <c r="D92" s="59" t="s">
        <v>47</v>
      </c>
      <c r="E92" s="111" t="s">
        <v>23</v>
      </c>
      <c r="F92" s="113">
        <f>9714+6064</f>
        <v>15778</v>
      </c>
      <c r="G92" s="113">
        <f>12667+991+407</f>
        <v>14065</v>
      </c>
      <c r="H92" s="113">
        <f>480+169+18+27+15+15+15</f>
        <v>739</v>
      </c>
      <c r="I92" s="113">
        <f>F92-(G92+H92)</f>
        <v>974</v>
      </c>
      <c r="J92" s="113">
        <f t="shared" ref="J92" si="56">I92</f>
        <v>974</v>
      </c>
      <c r="K92" s="115" t="s">
        <v>112</v>
      </c>
      <c r="L92" s="103">
        <f>IF(J92&lt;0,0,I92)</f>
        <v>974</v>
      </c>
      <c r="M92" s="105"/>
      <c r="N92" s="105"/>
      <c r="O92" s="107">
        <v>1988.4549999999999</v>
      </c>
      <c r="P92" s="99">
        <f>O92*R3</f>
        <v>11652.346300000001</v>
      </c>
      <c r="Q92" s="101"/>
      <c r="R92" s="101">
        <f>L92-O92</f>
        <v>-1014.4549999999999</v>
      </c>
      <c r="S92" s="99">
        <f>R92*R3</f>
        <v>-5944.7062999999998</v>
      </c>
    </row>
    <row r="93" spans="1:19" ht="15.75" customHeight="1" x14ac:dyDescent="0.25">
      <c r="A93" s="57">
        <v>45992</v>
      </c>
      <c r="B93" s="112"/>
      <c r="C93" s="112"/>
      <c r="D93" s="59" t="s">
        <v>48</v>
      </c>
      <c r="E93" s="112"/>
      <c r="F93" s="114"/>
      <c r="G93" s="114"/>
      <c r="H93" s="114"/>
      <c r="I93" s="114"/>
      <c r="J93" s="114"/>
      <c r="K93" s="116"/>
      <c r="L93" s="104"/>
      <c r="M93" s="106"/>
      <c r="N93" s="106"/>
      <c r="O93" s="108"/>
      <c r="P93" s="109"/>
      <c r="Q93" s="110"/>
      <c r="R93" s="110"/>
      <c r="S93" s="100"/>
    </row>
    <row r="94" spans="1:19" ht="31.5" customHeight="1" x14ac:dyDescent="0.25">
      <c r="A94" s="94"/>
      <c r="L94" s="73">
        <f>SUM(L70:L93)</f>
        <v>23878</v>
      </c>
      <c r="O94" s="56">
        <f>SUM(O70:O92)</f>
        <v>23861.460000000006</v>
      </c>
      <c r="P94" s="20">
        <f>SUM(P70:P92)</f>
        <v>132073.18110000002</v>
      </c>
      <c r="Q94" s="95" t="s">
        <v>116</v>
      </c>
      <c r="R94" s="95">
        <f>SUM(Q70:R81)</f>
        <v>-871.72999999999956</v>
      </c>
      <c r="S94" s="96">
        <f>SUM(S70:S81)</f>
        <v>-4541.7132999999949</v>
      </c>
    </row>
    <row r="95" spans="1:19" ht="31.5" customHeight="1" x14ac:dyDescent="0.25">
      <c r="A95" s="94"/>
      <c r="L95" s="20"/>
      <c r="Q95" s="97" t="s">
        <v>117</v>
      </c>
      <c r="R95" s="95">
        <f>SUM(Q82:R93)</f>
        <v>888.27000000000044</v>
      </c>
      <c r="S95" s="96">
        <f>SUM(S82:S93)</f>
        <v>5205.2622000000028</v>
      </c>
    </row>
    <row r="96" spans="1:19" x14ac:dyDescent="0.25">
      <c r="Q96" s="97"/>
      <c r="R96" s="97"/>
      <c r="S96" s="97"/>
    </row>
    <row r="97" spans="17:19" x14ac:dyDescent="0.25">
      <c r="Q97" s="97"/>
      <c r="R97" s="97"/>
      <c r="S97" s="96">
        <f>S94+S95</f>
        <v>663.54890000000796</v>
      </c>
    </row>
  </sheetData>
  <sheetProtection algorithmName="SHA-512" hashValue="TDLl83ip0sjnLSxMP5gAlKClQXPxixk9gwrRoKWakXH09U52U6c+56QCIv9SXMvZpWRBrMO4/amLoyi2Nkz4gA==" saltValue="CG+f7xy+ymSU5IpJ3h0MfQ==" spinCount="100000" sheet="1" objects="1" scenarios="1" selectLockedCells="1" selectUnlockedCells="1"/>
  <mergeCells count="703">
    <mergeCell ref="R25:R26"/>
    <mergeCell ref="S11:S12"/>
    <mergeCell ref="S13:S14"/>
    <mergeCell ref="S4:S5"/>
    <mergeCell ref="A1:S1"/>
    <mergeCell ref="K9:K10"/>
    <mergeCell ref="S7:S8"/>
    <mergeCell ref="S9:S10"/>
    <mergeCell ref="R9:R10"/>
    <mergeCell ref="Q13:Q14"/>
    <mergeCell ref="L13:L14"/>
    <mergeCell ref="M13:M14"/>
    <mergeCell ref="N13:N14"/>
    <mergeCell ref="O13:O14"/>
    <mergeCell ref="P13:P14"/>
    <mergeCell ref="R11:R12"/>
    <mergeCell ref="M11:M12"/>
    <mergeCell ref="B13:B14"/>
    <mergeCell ref="C13:C14"/>
    <mergeCell ref="E13:E14"/>
    <mergeCell ref="F13:F14"/>
    <mergeCell ref="G13:G14"/>
    <mergeCell ref="N11:N12"/>
    <mergeCell ref="O11:O12"/>
    <mergeCell ref="P11:P12"/>
    <mergeCell ref="R13:R14"/>
    <mergeCell ref="Q11:Q12"/>
    <mergeCell ref="H13:H14"/>
    <mergeCell ref="I13:I14"/>
    <mergeCell ref="K13:K14"/>
    <mergeCell ref="K11:K12"/>
    <mergeCell ref="L11:L12"/>
    <mergeCell ref="H11:H12"/>
    <mergeCell ref="I11:I12"/>
    <mergeCell ref="J11:J12"/>
    <mergeCell ref="J13:J14"/>
    <mergeCell ref="B9:B10"/>
    <mergeCell ref="C9:C10"/>
    <mergeCell ref="E9:E10"/>
    <mergeCell ref="F9:F10"/>
    <mergeCell ref="G9:G10"/>
    <mergeCell ref="B11:B12"/>
    <mergeCell ref="C11:C12"/>
    <mergeCell ref="E11:E12"/>
    <mergeCell ref="F11:F12"/>
    <mergeCell ref="G11:G12"/>
    <mergeCell ref="M4:M5"/>
    <mergeCell ref="N4:N5"/>
    <mergeCell ref="O4:O5"/>
    <mergeCell ref="Q7:Q8"/>
    <mergeCell ref="H9:H10"/>
    <mergeCell ref="M7:M8"/>
    <mergeCell ref="N7:N8"/>
    <mergeCell ref="O7:O8"/>
    <mergeCell ref="P7:P8"/>
    <mergeCell ref="P9:P10"/>
    <mergeCell ref="J7:J8"/>
    <mergeCell ref="J9:J10"/>
    <mergeCell ref="I9:I10"/>
    <mergeCell ref="L9:L10"/>
    <mergeCell ref="M9:M10"/>
    <mergeCell ref="N9:N10"/>
    <mergeCell ref="Q9:Q10"/>
    <mergeCell ref="O9:O10"/>
    <mergeCell ref="E7:E8"/>
    <mergeCell ref="F7:F8"/>
    <mergeCell ref="G7:G8"/>
    <mergeCell ref="H7:H8"/>
    <mergeCell ref="I7:I8"/>
    <mergeCell ref="K7:K8"/>
    <mergeCell ref="L7:L8"/>
    <mergeCell ref="I4:I5"/>
    <mergeCell ref="K4:L4"/>
    <mergeCell ref="K15:K16"/>
    <mergeCell ref="L15:L16"/>
    <mergeCell ref="B15:B16"/>
    <mergeCell ref="C15:C16"/>
    <mergeCell ref="E15:E16"/>
    <mergeCell ref="F15:F16"/>
    <mergeCell ref="G15:G16"/>
    <mergeCell ref="R7:R8"/>
    <mergeCell ref="G2:K2"/>
    <mergeCell ref="G3:K3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Q4:R4"/>
    <mergeCell ref="B7:B8"/>
    <mergeCell ref="C7:C8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R21:R22"/>
    <mergeCell ref="S21:S22"/>
    <mergeCell ref="P19:P20"/>
    <mergeCell ref="Q19:Q20"/>
    <mergeCell ref="R19:R20"/>
    <mergeCell ref="S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H23:H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L27:L28"/>
    <mergeCell ref="M27:M28"/>
    <mergeCell ref="N27:N28"/>
    <mergeCell ref="O27:O28"/>
    <mergeCell ref="R23:R24"/>
    <mergeCell ref="S23:S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M23:M24"/>
    <mergeCell ref="N23:N24"/>
    <mergeCell ref="O23:O24"/>
    <mergeCell ref="P23:P24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B31:B32"/>
    <mergeCell ref="C31:C32"/>
    <mergeCell ref="E31:E32"/>
    <mergeCell ref="F31:F32"/>
    <mergeCell ref="G31:G32"/>
    <mergeCell ref="O29:O30"/>
    <mergeCell ref="P29:P30"/>
    <mergeCell ref="Q29:Q30"/>
    <mergeCell ref="R29:R30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Q31:Q32"/>
    <mergeCell ref="H31:H32"/>
    <mergeCell ref="I31:I32"/>
    <mergeCell ref="J31:J32"/>
    <mergeCell ref="K31:K32"/>
    <mergeCell ref="L31:L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L37:L38"/>
    <mergeCell ref="M37:M38"/>
    <mergeCell ref="N37:N38"/>
    <mergeCell ref="Q33:Q34"/>
    <mergeCell ref="R33:R34"/>
    <mergeCell ref="S33:S34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B33:B34"/>
    <mergeCell ref="C33:C34"/>
    <mergeCell ref="E33:E34"/>
    <mergeCell ref="F33:F34"/>
    <mergeCell ref="G33:G34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P2:P3"/>
    <mergeCell ref="O37:O38"/>
    <mergeCell ref="P37:P38"/>
    <mergeCell ref="Q37:Q38"/>
    <mergeCell ref="R37:R38"/>
    <mergeCell ref="S37:S38"/>
    <mergeCell ref="P35:P36"/>
    <mergeCell ref="Q35:Q36"/>
    <mergeCell ref="R35:R36"/>
    <mergeCell ref="S35:S36"/>
    <mergeCell ref="R31:R32"/>
    <mergeCell ref="S31:S32"/>
    <mergeCell ref="S29:S30"/>
    <mergeCell ref="P27:P28"/>
    <mergeCell ref="Q27:Q28"/>
    <mergeCell ref="R27:R28"/>
    <mergeCell ref="S27:S28"/>
    <mergeCell ref="Q25:Q26"/>
    <mergeCell ref="S25:S26"/>
    <mergeCell ref="Q23:Q24"/>
    <mergeCell ref="O21:O22"/>
    <mergeCell ref="P21:P22"/>
    <mergeCell ref="Q21:Q22"/>
    <mergeCell ref="P31:P32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45:B46"/>
    <mergeCell ref="C45:C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B55:B56"/>
    <mergeCell ref="C55:C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K61:K62"/>
    <mergeCell ref="S57:S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S61:S62"/>
    <mergeCell ref="L63:L64"/>
    <mergeCell ref="M63:M64"/>
    <mergeCell ref="N63:N64"/>
    <mergeCell ref="O63:O64"/>
    <mergeCell ref="P63:P64"/>
    <mergeCell ref="Q63:Q64"/>
    <mergeCell ref="R63:R64"/>
    <mergeCell ref="B61:B62"/>
    <mergeCell ref="C61:C62"/>
    <mergeCell ref="E61:E62"/>
    <mergeCell ref="F61:F62"/>
    <mergeCell ref="G61:G62"/>
    <mergeCell ref="H61:H62"/>
    <mergeCell ref="I61:I62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J61:J62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L70:L71"/>
    <mergeCell ref="M70:M71"/>
    <mergeCell ref="N70:N71"/>
    <mergeCell ref="O70:O71"/>
    <mergeCell ref="P70:P71"/>
    <mergeCell ref="Q70:Q71"/>
    <mergeCell ref="S70:S71"/>
    <mergeCell ref="S2:S3"/>
    <mergeCell ref="S63:S64"/>
    <mergeCell ref="L65:L66"/>
    <mergeCell ref="M65:M66"/>
    <mergeCell ref="N65:N66"/>
    <mergeCell ref="O65:O66"/>
    <mergeCell ref="P65:P66"/>
    <mergeCell ref="Q65:Q66"/>
    <mergeCell ref="R65:R66"/>
    <mergeCell ref="S65:S66"/>
    <mergeCell ref="L61:L62"/>
    <mergeCell ref="M61:M62"/>
    <mergeCell ref="N61:N62"/>
    <mergeCell ref="O61:O62"/>
    <mergeCell ref="P61:P62"/>
    <mergeCell ref="Q61:Q62"/>
    <mergeCell ref="R61:R62"/>
    <mergeCell ref="B70:B71"/>
    <mergeCell ref="C70:C71"/>
    <mergeCell ref="E70:E71"/>
    <mergeCell ref="F70:F71"/>
    <mergeCell ref="G70:G71"/>
    <mergeCell ref="H70:H71"/>
    <mergeCell ref="I70:I71"/>
    <mergeCell ref="J70:J71"/>
    <mergeCell ref="K70:K71"/>
    <mergeCell ref="B72:B73"/>
    <mergeCell ref="C72:C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B74:B75"/>
    <mergeCell ref="C74:C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B76:B77"/>
    <mergeCell ref="C76:C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B78:B79"/>
    <mergeCell ref="C78:C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B80:B81"/>
    <mergeCell ref="C80:C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B82:B83"/>
    <mergeCell ref="C82:C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B84:B85"/>
    <mergeCell ref="C84:C85"/>
    <mergeCell ref="E84:E85"/>
    <mergeCell ref="F84:F85"/>
    <mergeCell ref="G84:G85"/>
    <mergeCell ref="H84:H85"/>
    <mergeCell ref="I84:I85"/>
    <mergeCell ref="J84:J85"/>
    <mergeCell ref="K84:K85"/>
    <mergeCell ref="B86:B87"/>
    <mergeCell ref="C86:C87"/>
    <mergeCell ref="E86:E87"/>
    <mergeCell ref="F86:F87"/>
    <mergeCell ref="G86:G87"/>
    <mergeCell ref="H86:H87"/>
    <mergeCell ref="I86:I87"/>
    <mergeCell ref="J86:J87"/>
    <mergeCell ref="K86:K87"/>
    <mergeCell ref="R88:R89"/>
    <mergeCell ref="S88:S89"/>
    <mergeCell ref="L84:L85"/>
    <mergeCell ref="M84:M85"/>
    <mergeCell ref="N84:N85"/>
    <mergeCell ref="O84:O85"/>
    <mergeCell ref="P84:P85"/>
    <mergeCell ref="Q84:Q85"/>
    <mergeCell ref="R84:R85"/>
    <mergeCell ref="S84:S85"/>
    <mergeCell ref="L86:L87"/>
    <mergeCell ref="M86:M87"/>
    <mergeCell ref="N86:N87"/>
    <mergeCell ref="O86:O87"/>
    <mergeCell ref="P86:P87"/>
    <mergeCell ref="Q86:Q87"/>
    <mergeCell ref="R86:R87"/>
    <mergeCell ref="B88:B89"/>
    <mergeCell ref="C88:C89"/>
    <mergeCell ref="E88:E89"/>
    <mergeCell ref="F88:F89"/>
    <mergeCell ref="G88:G89"/>
    <mergeCell ref="H88:H89"/>
    <mergeCell ref="I88:I89"/>
    <mergeCell ref="J88:J89"/>
    <mergeCell ref="K88:K89"/>
    <mergeCell ref="B90:B91"/>
    <mergeCell ref="C90:C91"/>
    <mergeCell ref="E90:E91"/>
    <mergeCell ref="F90:F91"/>
    <mergeCell ref="G90:G91"/>
    <mergeCell ref="H90:H91"/>
    <mergeCell ref="I90:I91"/>
    <mergeCell ref="J90:J91"/>
    <mergeCell ref="K90:K91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S92:S93"/>
    <mergeCell ref="R70:R71"/>
    <mergeCell ref="L90:L91"/>
    <mergeCell ref="M90:M91"/>
    <mergeCell ref="N90:N91"/>
    <mergeCell ref="O90:O91"/>
    <mergeCell ref="P90:P91"/>
    <mergeCell ref="Q90:Q91"/>
    <mergeCell ref="R90:R91"/>
    <mergeCell ref="S90:S91"/>
    <mergeCell ref="L92:L93"/>
    <mergeCell ref="M92:M93"/>
    <mergeCell ref="N92:N93"/>
    <mergeCell ref="O92:O93"/>
    <mergeCell ref="P92:P93"/>
    <mergeCell ref="Q92:Q93"/>
    <mergeCell ref="R92:R93"/>
    <mergeCell ref="S86:S87"/>
    <mergeCell ref="L88:L89"/>
    <mergeCell ref="M88:M89"/>
    <mergeCell ref="N88:N89"/>
    <mergeCell ref="O88:O89"/>
    <mergeCell ref="P88:P89"/>
    <mergeCell ref="Q88:Q89"/>
  </mergeCells>
  <pageMargins left="0.25" right="0.25" top="0.75" bottom="0.75" header="0.3" footer="0.3"/>
  <pageSetup paperSize="9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zoomScale="77" zoomScaleNormal="77" workbookViewId="0">
      <selection activeCell="A2" sqref="A2:D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5" bestFit="1" customWidth="1"/>
    <col min="21" max="21" width="3.42578125" customWidth="1"/>
    <col min="22" max="22" width="4.7109375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51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8">
        <v>44805</v>
      </c>
      <c r="B7" s="129">
        <v>4155.2</v>
      </c>
      <c r="C7" s="129">
        <v>1470.7</v>
      </c>
      <c r="D7" s="19" t="s">
        <v>52</v>
      </c>
      <c r="E7" s="129" t="s">
        <v>23</v>
      </c>
      <c r="F7" s="131"/>
      <c r="G7" s="131"/>
      <c r="H7" s="131"/>
      <c r="I7" s="131"/>
      <c r="J7" s="131"/>
      <c r="K7" s="133" t="s">
        <v>65</v>
      </c>
      <c r="L7" s="122">
        <v>1177</v>
      </c>
      <c r="M7" s="129"/>
      <c r="N7" s="129"/>
      <c r="O7" s="135">
        <v>1176.5619999999999</v>
      </c>
      <c r="P7" s="137">
        <f>O7*M2</f>
        <v>5176.8728000000001</v>
      </c>
      <c r="Q7" s="122"/>
      <c r="R7" s="122"/>
      <c r="S7" s="143">
        <v>0</v>
      </c>
    </row>
    <row r="8" spans="1:19" ht="20.100000000000001" hidden="1" customHeight="1" x14ac:dyDescent="0.25">
      <c r="A8" s="18">
        <v>44805</v>
      </c>
      <c r="B8" s="130"/>
      <c r="C8" s="130"/>
      <c r="D8" s="19" t="s">
        <v>53</v>
      </c>
      <c r="E8" s="130"/>
      <c r="F8" s="132"/>
      <c r="G8" s="132"/>
      <c r="H8" s="132"/>
      <c r="I8" s="132"/>
      <c r="J8" s="132"/>
      <c r="K8" s="134"/>
      <c r="L8" s="123"/>
      <c r="M8" s="130"/>
      <c r="N8" s="130"/>
      <c r="O8" s="136"/>
      <c r="P8" s="138"/>
      <c r="Q8" s="123"/>
      <c r="R8" s="123"/>
      <c r="S8" s="143"/>
    </row>
    <row r="9" spans="1:19" ht="20.100000000000001" hidden="1" customHeight="1" x14ac:dyDescent="0.25">
      <c r="A9" s="18">
        <v>44835</v>
      </c>
      <c r="B9" s="129">
        <v>4155.2</v>
      </c>
      <c r="C9" s="129">
        <v>1470.7</v>
      </c>
      <c r="D9" s="19" t="s">
        <v>52</v>
      </c>
      <c r="E9" s="129" t="s">
        <v>23</v>
      </c>
      <c r="F9" s="131">
        <f>5945.24+3278.04</f>
        <v>9223.2799999999988</v>
      </c>
      <c r="G9" s="131">
        <f>7137+336+105</f>
        <v>7578</v>
      </c>
      <c r="H9" s="131">
        <f>643+944+20+15+15</f>
        <v>1637</v>
      </c>
      <c r="I9" s="131">
        <f>F9-(G9+H9)</f>
        <v>8.2799999999988358</v>
      </c>
      <c r="J9" s="131">
        <v>8</v>
      </c>
      <c r="K9" s="133" t="s">
        <v>64</v>
      </c>
      <c r="L9" s="122">
        <v>8</v>
      </c>
      <c r="M9" s="139"/>
      <c r="N9" s="139"/>
      <c r="O9" s="135">
        <v>1176.5619999999999</v>
      </c>
      <c r="P9" s="137">
        <f>O9*M2</f>
        <v>5176.8728000000001</v>
      </c>
      <c r="Q9" s="141">
        <v>1168.5619999999999</v>
      </c>
      <c r="R9" s="141"/>
      <c r="S9" s="143">
        <f>-(Q9*M2)</f>
        <v>-5141.6728000000003</v>
      </c>
    </row>
    <row r="10" spans="1:19" ht="20.100000000000001" hidden="1" customHeight="1" x14ac:dyDescent="0.25">
      <c r="A10" s="18">
        <v>44835</v>
      </c>
      <c r="B10" s="130"/>
      <c r="C10" s="130"/>
      <c r="D10" s="19" t="s">
        <v>53</v>
      </c>
      <c r="E10" s="130"/>
      <c r="F10" s="132"/>
      <c r="G10" s="132"/>
      <c r="H10" s="132"/>
      <c r="I10" s="132"/>
      <c r="J10" s="132"/>
      <c r="K10" s="134"/>
      <c r="L10" s="123"/>
      <c r="M10" s="140"/>
      <c r="N10" s="140"/>
      <c r="O10" s="136"/>
      <c r="P10" s="138"/>
      <c r="Q10" s="142"/>
      <c r="R10" s="142"/>
      <c r="S10" s="143"/>
    </row>
    <row r="11" spans="1:19" ht="31.5" hidden="1" customHeight="1" x14ac:dyDescent="0.25">
      <c r="A11" s="18">
        <v>44866</v>
      </c>
      <c r="B11" s="129">
        <v>4155.2</v>
      </c>
      <c r="C11" s="129">
        <v>1470.7</v>
      </c>
      <c r="D11" s="19" t="s">
        <v>52</v>
      </c>
      <c r="E11" s="129" t="s">
        <v>23</v>
      </c>
      <c r="F11" s="131">
        <f>7493.96+3970.05</f>
        <v>11464.01</v>
      </c>
      <c r="G11" s="131">
        <f>5650+430+135</f>
        <v>6215</v>
      </c>
      <c r="H11" s="131">
        <f>749+1063+20+15+15</f>
        <v>1862</v>
      </c>
      <c r="I11" s="131">
        <f>F11-(G11+H11)</f>
        <v>3387.01</v>
      </c>
      <c r="J11" s="131">
        <v>3387</v>
      </c>
      <c r="K11" s="133" t="s">
        <v>66</v>
      </c>
      <c r="L11" s="122">
        <v>3387</v>
      </c>
      <c r="M11" s="139"/>
      <c r="N11" s="139"/>
      <c r="O11" s="135">
        <v>1176.5619999999999</v>
      </c>
      <c r="P11" s="137">
        <f>O11*M2</f>
        <v>5176.8728000000001</v>
      </c>
      <c r="Q11" s="141"/>
      <c r="R11" s="141">
        <v>2210.4380000000001</v>
      </c>
      <c r="S11" s="143">
        <f>R11*M2</f>
        <v>9725.9272000000019</v>
      </c>
    </row>
    <row r="12" spans="1:19" ht="31.5" hidden="1" customHeight="1" x14ac:dyDescent="0.25">
      <c r="A12" s="18">
        <v>44866</v>
      </c>
      <c r="B12" s="130"/>
      <c r="C12" s="130"/>
      <c r="D12" s="19" t="s">
        <v>53</v>
      </c>
      <c r="E12" s="130"/>
      <c r="F12" s="132"/>
      <c r="G12" s="132"/>
      <c r="H12" s="132"/>
      <c r="I12" s="132"/>
      <c r="J12" s="132"/>
      <c r="K12" s="134"/>
      <c r="L12" s="123"/>
      <c r="M12" s="140"/>
      <c r="N12" s="140"/>
      <c r="O12" s="136"/>
      <c r="P12" s="138"/>
      <c r="Q12" s="142"/>
      <c r="R12" s="142"/>
      <c r="S12" s="143"/>
    </row>
    <row r="13" spans="1:19" ht="31.5" hidden="1" customHeight="1" x14ac:dyDescent="0.25">
      <c r="A13" s="18">
        <v>44896</v>
      </c>
      <c r="B13" s="129">
        <v>4155.2</v>
      </c>
      <c r="C13" s="129">
        <v>1470.7</v>
      </c>
      <c r="D13" s="19" t="s">
        <v>52</v>
      </c>
      <c r="E13" s="129" t="s">
        <v>23</v>
      </c>
      <c r="F13" s="131">
        <f>4320+7573</f>
        <v>11893</v>
      </c>
      <c r="G13" s="131">
        <f>7873+444+105</f>
        <v>8422</v>
      </c>
      <c r="H13" s="131">
        <f>726+1061+20+15+15</f>
        <v>1837</v>
      </c>
      <c r="I13" s="131">
        <f>F13-(G13+H13)</f>
        <v>1634</v>
      </c>
      <c r="J13" s="131">
        <v>1634</v>
      </c>
      <c r="K13" s="133" t="s">
        <v>67</v>
      </c>
      <c r="L13" s="122">
        <v>1634</v>
      </c>
      <c r="M13" s="139"/>
      <c r="N13" s="139"/>
      <c r="O13" s="135">
        <v>1176.5619999999999</v>
      </c>
      <c r="P13" s="137">
        <f>O13*M3</f>
        <v>5635.7319799999996</v>
      </c>
      <c r="Q13" s="141"/>
      <c r="R13" s="141">
        <v>457.43799999999999</v>
      </c>
      <c r="S13" s="143">
        <f>R13*M3</f>
        <v>2191.1280200000001</v>
      </c>
    </row>
    <row r="14" spans="1:19" ht="31.5" hidden="1" customHeight="1" x14ac:dyDescent="0.25">
      <c r="A14" s="18">
        <v>44896</v>
      </c>
      <c r="B14" s="130"/>
      <c r="C14" s="130"/>
      <c r="D14" s="19" t="s">
        <v>53</v>
      </c>
      <c r="E14" s="130"/>
      <c r="F14" s="132"/>
      <c r="G14" s="132"/>
      <c r="H14" s="132"/>
      <c r="I14" s="132"/>
      <c r="J14" s="132"/>
      <c r="K14" s="134"/>
      <c r="L14" s="123"/>
      <c r="M14" s="140"/>
      <c r="N14" s="140"/>
      <c r="O14" s="136"/>
      <c r="P14" s="138"/>
      <c r="Q14" s="142"/>
      <c r="R14" s="142"/>
      <c r="S14" s="143"/>
    </row>
    <row r="15" spans="1:19" ht="15.75" hidden="1" customHeight="1" x14ac:dyDescent="0.25">
      <c r="A15" s="57">
        <v>44927</v>
      </c>
      <c r="B15" s="111">
        <v>4155.2</v>
      </c>
      <c r="C15" s="111">
        <v>1470.7</v>
      </c>
      <c r="D15" s="59" t="s">
        <v>52</v>
      </c>
      <c r="E15" s="111" t="s">
        <v>23</v>
      </c>
      <c r="F15" s="113">
        <f>7840.44+4493.79</f>
        <v>12334.23</v>
      </c>
      <c r="G15" s="113">
        <f>7600+351+105</f>
        <v>8056</v>
      </c>
      <c r="H15" s="113">
        <f>1153+20+15+15+609</f>
        <v>1812</v>
      </c>
      <c r="I15" s="113">
        <f>F15-(G15+H15)</f>
        <v>2466.2299999999996</v>
      </c>
      <c r="J15" s="113">
        <f>I15</f>
        <v>2466.2299999999996</v>
      </c>
      <c r="K15" s="120" t="s">
        <v>76</v>
      </c>
      <c r="L15" s="103">
        <f>IF(J15&lt;0,0,I15)</f>
        <v>2466.2299999999996</v>
      </c>
      <c r="M15" s="105"/>
      <c r="N15" s="105"/>
      <c r="O15" s="107">
        <v>1176.5619999999999</v>
      </c>
      <c r="P15" s="99">
        <f>O15*M3</f>
        <v>5635.7319799999996</v>
      </c>
      <c r="Q15" s="119"/>
      <c r="R15" s="101">
        <f>L15-O15</f>
        <v>1289.6679999999997</v>
      </c>
      <c r="S15" s="99">
        <f>R15*M3</f>
        <v>6177.5097199999982</v>
      </c>
    </row>
    <row r="16" spans="1:19" ht="15.75" hidden="1" customHeight="1" x14ac:dyDescent="0.25">
      <c r="A16" s="57">
        <v>44927</v>
      </c>
      <c r="B16" s="112"/>
      <c r="C16" s="112"/>
      <c r="D16" s="59" t="s">
        <v>53</v>
      </c>
      <c r="E16" s="112"/>
      <c r="F16" s="114"/>
      <c r="G16" s="114"/>
      <c r="H16" s="114"/>
      <c r="I16" s="114"/>
      <c r="J16" s="114"/>
      <c r="K16" s="121"/>
      <c r="L16" s="104"/>
      <c r="M16" s="106"/>
      <c r="N16" s="106"/>
      <c r="O16" s="108"/>
      <c r="P16" s="109"/>
      <c r="Q16" s="104"/>
      <c r="R16" s="102"/>
      <c r="S16" s="109"/>
    </row>
    <row r="17" spans="1:19" ht="15.75" hidden="1" customHeight="1" x14ac:dyDescent="0.25">
      <c r="A17" s="57">
        <v>44958</v>
      </c>
      <c r="B17" s="111">
        <v>4155.2</v>
      </c>
      <c r="C17" s="111">
        <v>1470.7</v>
      </c>
      <c r="D17" s="59" t="s">
        <v>52</v>
      </c>
      <c r="E17" s="111" t="s">
        <v>23</v>
      </c>
      <c r="F17" s="113">
        <f>5578.24+2803.95</f>
        <v>8382.1899999999987</v>
      </c>
      <c r="G17" s="113">
        <f>7345+427+177</f>
        <v>7949</v>
      </c>
      <c r="H17" s="113">
        <f>664+822+20+15+15</f>
        <v>1536</v>
      </c>
      <c r="I17" s="113">
        <f t="shared" ref="I17" si="0">F17-(G17+H17)</f>
        <v>-1102.8100000000013</v>
      </c>
      <c r="J17" s="113">
        <f t="shared" ref="J17" si="1">I17</f>
        <v>-1102.8100000000013</v>
      </c>
      <c r="K17" s="120"/>
      <c r="L17" s="103">
        <f t="shared" ref="L17" si="2">IF(J17&lt;0,0,I17)</f>
        <v>0</v>
      </c>
      <c r="M17" s="105"/>
      <c r="N17" s="105"/>
      <c r="O17" s="107">
        <v>1176.5619999999999</v>
      </c>
      <c r="P17" s="99">
        <f>O17*M3</f>
        <v>5635.7319799999996</v>
      </c>
      <c r="Q17" s="119">
        <f>L17-O17</f>
        <v>-1176.5619999999999</v>
      </c>
      <c r="R17" s="101"/>
      <c r="S17" s="99">
        <f>Q17*M3</f>
        <v>-5635.7319799999996</v>
      </c>
    </row>
    <row r="18" spans="1:19" ht="15.75" hidden="1" customHeight="1" x14ac:dyDescent="0.25">
      <c r="A18" s="57">
        <v>44958</v>
      </c>
      <c r="B18" s="112"/>
      <c r="C18" s="112"/>
      <c r="D18" s="59" t="s">
        <v>53</v>
      </c>
      <c r="E18" s="112"/>
      <c r="F18" s="114"/>
      <c r="G18" s="114"/>
      <c r="H18" s="114"/>
      <c r="I18" s="114"/>
      <c r="J18" s="114"/>
      <c r="K18" s="121"/>
      <c r="L18" s="104"/>
      <c r="M18" s="106"/>
      <c r="N18" s="106"/>
      <c r="O18" s="108"/>
      <c r="P18" s="109"/>
      <c r="Q18" s="104"/>
      <c r="R18" s="102"/>
      <c r="S18" s="109"/>
    </row>
    <row r="19" spans="1:19" ht="15.75" hidden="1" customHeight="1" x14ac:dyDescent="0.25">
      <c r="A19" s="57">
        <v>44986</v>
      </c>
      <c r="B19" s="111">
        <v>4155.2</v>
      </c>
      <c r="C19" s="111">
        <v>1470.7</v>
      </c>
      <c r="D19" s="59" t="s">
        <v>52</v>
      </c>
      <c r="E19" s="111" t="s">
        <v>23</v>
      </c>
      <c r="F19" s="113">
        <f>8715.36+4450.17</f>
        <v>13165.53</v>
      </c>
      <c r="G19" s="113">
        <f>7590+359+109</f>
        <v>8058</v>
      </c>
      <c r="H19" s="113">
        <f>601+1281+20+15+15</f>
        <v>1932</v>
      </c>
      <c r="I19" s="113">
        <f t="shared" ref="I19" si="3">F19-(G19+H19)</f>
        <v>3175.5300000000007</v>
      </c>
      <c r="J19" s="113">
        <f>I19-1104</f>
        <v>2071.5300000000007</v>
      </c>
      <c r="K19" s="120" t="s">
        <v>77</v>
      </c>
      <c r="L19" s="103">
        <f>J19</f>
        <v>2071.5300000000007</v>
      </c>
      <c r="M19" s="105"/>
      <c r="N19" s="105"/>
      <c r="O19" s="107">
        <v>1176.5619999999999</v>
      </c>
      <c r="P19" s="99">
        <f>O19*M3</f>
        <v>5635.7319799999996</v>
      </c>
      <c r="Q19" s="119"/>
      <c r="R19" s="101">
        <f t="shared" ref="R19" si="4">L19-O19</f>
        <v>894.96800000000076</v>
      </c>
      <c r="S19" s="99">
        <f>R19*M3</f>
        <v>4286.8967200000034</v>
      </c>
    </row>
    <row r="20" spans="1:19" ht="15.75" hidden="1" customHeight="1" x14ac:dyDescent="0.25">
      <c r="A20" s="57">
        <v>44986</v>
      </c>
      <c r="B20" s="112"/>
      <c r="C20" s="112"/>
      <c r="D20" s="59" t="s">
        <v>53</v>
      </c>
      <c r="E20" s="112"/>
      <c r="F20" s="114"/>
      <c r="G20" s="114"/>
      <c r="H20" s="114"/>
      <c r="I20" s="114"/>
      <c r="J20" s="114"/>
      <c r="K20" s="121"/>
      <c r="L20" s="104"/>
      <c r="M20" s="106"/>
      <c r="N20" s="106"/>
      <c r="O20" s="108"/>
      <c r="P20" s="109"/>
      <c r="Q20" s="104"/>
      <c r="R20" s="102"/>
      <c r="S20" s="109"/>
    </row>
    <row r="21" spans="1:19" ht="15.75" hidden="1" customHeight="1" x14ac:dyDescent="0.25">
      <c r="A21" s="57">
        <v>45017</v>
      </c>
      <c r="B21" s="111">
        <v>4155.2</v>
      </c>
      <c r="C21" s="111">
        <v>1470.7</v>
      </c>
      <c r="D21" s="59" t="s">
        <v>52</v>
      </c>
      <c r="E21" s="111" t="s">
        <v>23</v>
      </c>
      <c r="F21" s="113">
        <f>7154.04+3554.01</f>
        <v>10708.05</v>
      </c>
      <c r="G21" s="113">
        <f>6619+345+110</f>
        <v>7074</v>
      </c>
      <c r="H21" s="113">
        <f>808+980+20+15+15</f>
        <v>1838</v>
      </c>
      <c r="I21" s="113">
        <f t="shared" ref="I21" si="5">F21-(G21+H21)</f>
        <v>1796.0499999999993</v>
      </c>
      <c r="J21" s="113">
        <f t="shared" ref="J21" si="6">I21</f>
        <v>1796.0499999999993</v>
      </c>
      <c r="K21" s="120" t="s">
        <v>78</v>
      </c>
      <c r="L21" s="103">
        <f t="shared" ref="L21" si="7">IF(J21&lt;0,0,I21)</f>
        <v>1796.0499999999993</v>
      </c>
      <c r="M21" s="105"/>
      <c r="N21" s="105"/>
      <c r="O21" s="107">
        <v>1176.5619999999999</v>
      </c>
      <c r="P21" s="99">
        <f>O21*M3</f>
        <v>5635.7319799999996</v>
      </c>
      <c r="Q21" s="119"/>
      <c r="R21" s="101">
        <f t="shared" ref="R21" si="8">L21-O21</f>
        <v>619.48799999999937</v>
      </c>
      <c r="S21" s="99">
        <f>R21*M3</f>
        <v>2967.3475199999971</v>
      </c>
    </row>
    <row r="22" spans="1:19" ht="15.75" hidden="1" customHeight="1" x14ac:dyDescent="0.25">
      <c r="A22" s="57">
        <v>45017</v>
      </c>
      <c r="B22" s="112"/>
      <c r="C22" s="112"/>
      <c r="D22" s="59" t="s">
        <v>53</v>
      </c>
      <c r="E22" s="112"/>
      <c r="F22" s="114"/>
      <c r="G22" s="114"/>
      <c r="H22" s="114"/>
      <c r="I22" s="114"/>
      <c r="J22" s="114"/>
      <c r="K22" s="121"/>
      <c r="L22" s="104"/>
      <c r="M22" s="106"/>
      <c r="N22" s="106"/>
      <c r="O22" s="108"/>
      <c r="P22" s="109"/>
      <c r="Q22" s="104"/>
      <c r="R22" s="102"/>
      <c r="S22" s="109"/>
    </row>
    <row r="23" spans="1:19" ht="15.75" hidden="1" customHeight="1" x14ac:dyDescent="0.25">
      <c r="A23" s="57">
        <v>45047</v>
      </c>
      <c r="B23" s="111">
        <v>4155.2</v>
      </c>
      <c r="C23" s="111">
        <v>1470.7</v>
      </c>
      <c r="D23" s="59" t="s">
        <v>52</v>
      </c>
      <c r="E23" s="111" t="s">
        <v>23</v>
      </c>
      <c r="F23" s="113">
        <f>7286.44+4195.08</f>
        <v>11481.52</v>
      </c>
      <c r="G23" s="113">
        <f>7697+405+116</f>
        <v>8218</v>
      </c>
      <c r="H23" s="113">
        <f>662+927+20+15+15</f>
        <v>1639</v>
      </c>
      <c r="I23" s="113">
        <f t="shared" ref="I23" si="9">F23-(G23+H23)</f>
        <v>1624.5200000000004</v>
      </c>
      <c r="J23" s="113">
        <f>I23-1</f>
        <v>1623.5200000000004</v>
      </c>
      <c r="K23" s="120" t="s">
        <v>79</v>
      </c>
      <c r="L23" s="103">
        <f>J23</f>
        <v>1623.5200000000004</v>
      </c>
      <c r="M23" s="105"/>
      <c r="N23" s="105"/>
      <c r="O23" s="107">
        <v>1176.5619999999999</v>
      </c>
      <c r="P23" s="99">
        <f>O23*M3</f>
        <v>5635.7319799999996</v>
      </c>
      <c r="Q23" s="119"/>
      <c r="R23" s="101">
        <f t="shared" ref="R23" si="10">L23-O23</f>
        <v>446.95800000000054</v>
      </c>
      <c r="S23" s="99">
        <f>R23*M3</f>
        <v>2140.9288200000028</v>
      </c>
    </row>
    <row r="24" spans="1:19" ht="15.75" hidden="1" customHeight="1" x14ac:dyDescent="0.25">
      <c r="A24" s="57">
        <v>45047</v>
      </c>
      <c r="B24" s="112"/>
      <c r="C24" s="112"/>
      <c r="D24" s="59" t="s">
        <v>53</v>
      </c>
      <c r="E24" s="112"/>
      <c r="F24" s="114"/>
      <c r="G24" s="114"/>
      <c r="H24" s="114"/>
      <c r="I24" s="114"/>
      <c r="J24" s="114"/>
      <c r="K24" s="121"/>
      <c r="L24" s="104"/>
      <c r="M24" s="106"/>
      <c r="N24" s="106"/>
      <c r="O24" s="108"/>
      <c r="P24" s="109"/>
      <c r="Q24" s="104"/>
      <c r="R24" s="102"/>
      <c r="S24" s="109"/>
    </row>
    <row r="25" spans="1:19" ht="15.75" hidden="1" customHeight="1" x14ac:dyDescent="0.25">
      <c r="A25" s="57">
        <v>45078</v>
      </c>
      <c r="B25" s="111">
        <v>4155.2</v>
      </c>
      <c r="C25" s="111">
        <v>1470.7</v>
      </c>
      <c r="D25" s="59" t="s">
        <v>52</v>
      </c>
      <c r="E25" s="111" t="s">
        <v>23</v>
      </c>
      <c r="F25" s="113">
        <f>6278.16+3460.5</f>
        <v>9738.66</v>
      </c>
      <c r="G25" s="113">
        <f>7194+297+103</f>
        <v>7594</v>
      </c>
      <c r="H25" s="113">
        <f>632+1200+20+15+15</f>
        <v>1882</v>
      </c>
      <c r="I25" s="113">
        <f t="shared" ref="I25" si="11">F25-(G25+H25)</f>
        <v>262.65999999999985</v>
      </c>
      <c r="J25" s="113">
        <f t="shared" ref="J25" si="12">I25</f>
        <v>262.65999999999985</v>
      </c>
      <c r="K25" s="120" t="s">
        <v>80</v>
      </c>
      <c r="L25" s="103">
        <f t="shared" ref="L25" si="13">IF(J25&lt;0,0,I25)</f>
        <v>262.65999999999985</v>
      </c>
      <c r="M25" s="105"/>
      <c r="N25" s="105"/>
      <c r="O25" s="107">
        <v>1176.5619999999999</v>
      </c>
      <c r="P25" s="99">
        <f>O25*M3</f>
        <v>5635.7319799999996</v>
      </c>
      <c r="Q25" s="119">
        <f>L25-O25</f>
        <v>-913.90200000000004</v>
      </c>
      <c r="R25" s="101"/>
      <c r="S25" s="99">
        <f>Q25*M3</f>
        <v>-4377.59058</v>
      </c>
    </row>
    <row r="26" spans="1:19" ht="15.75" hidden="1" customHeight="1" x14ac:dyDescent="0.25">
      <c r="A26" s="57">
        <v>45078</v>
      </c>
      <c r="B26" s="112"/>
      <c r="C26" s="112"/>
      <c r="D26" s="59" t="s">
        <v>53</v>
      </c>
      <c r="E26" s="112"/>
      <c r="F26" s="114"/>
      <c r="G26" s="114"/>
      <c r="H26" s="114"/>
      <c r="I26" s="114"/>
      <c r="J26" s="114"/>
      <c r="K26" s="121"/>
      <c r="L26" s="104"/>
      <c r="M26" s="106"/>
      <c r="N26" s="106"/>
      <c r="O26" s="108"/>
      <c r="P26" s="109"/>
      <c r="Q26" s="104"/>
      <c r="R26" s="102"/>
      <c r="S26" s="109"/>
    </row>
    <row r="27" spans="1:19" ht="15.75" hidden="1" customHeight="1" x14ac:dyDescent="0.25">
      <c r="A27" s="57">
        <v>45108</v>
      </c>
      <c r="B27" s="111">
        <v>4155.2</v>
      </c>
      <c r="C27" s="111">
        <v>1470.7</v>
      </c>
      <c r="D27" s="59" t="s">
        <v>52</v>
      </c>
      <c r="E27" s="111" t="s">
        <v>23</v>
      </c>
      <c r="F27" s="113">
        <f>5998.04+3170.73</f>
        <v>9168.77</v>
      </c>
      <c r="G27" s="113">
        <f>6026+21-10</f>
        <v>6037</v>
      </c>
      <c r="H27" s="113">
        <f>819+999+20+15+15</f>
        <v>1868</v>
      </c>
      <c r="I27" s="113">
        <f t="shared" ref="I27" si="14">F27-(G27+H27)</f>
        <v>1263.7700000000004</v>
      </c>
      <c r="J27" s="113">
        <f t="shared" ref="J27" si="15">I27</f>
        <v>1263.7700000000004</v>
      </c>
      <c r="K27" s="120" t="s">
        <v>81</v>
      </c>
      <c r="L27" s="103">
        <f t="shared" ref="L27" si="16">IF(J27&lt;0,0,I27)</f>
        <v>1263.7700000000004</v>
      </c>
      <c r="M27" s="105"/>
      <c r="N27" s="105"/>
      <c r="O27" s="107">
        <v>1176.5619999999999</v>
      </c>
      <c r="P27" s="99">
        <f>O27*M3</f>
        <v>5635.7319799999996</v>
      </c>
      <c r="Q27" s="119"/>
      <c r="R27" s="101">
        <f t="shared" ref="R27" si="17">L27-O27</f>
        <v>87.208000000000538</v>
      </c>
      <c r="S27" s="99">
        <f>R27*M3</f>
        <v>417.7263200000026</v>
      </c>
    </row>
    <row r="28" spans="1:19" ht="15.75" hidden="1" customHeight="1" x14ac:dyDescent="0.25">
      <c r="A28" s="57">
        <v>45108</v>
      </c>
      <c r="B28" s="112"/>
      <c r="C28" s="112"/>
      <c r="D28" s="59" t="s">
        <v>53</v>
      </c>
      <c r="E28" s="112"/>
      <c r="F28" s="114"/>
      <c r="G28" s="114"/>
      <c r="H28" s="114"/>
      <c r="I28" s="114"/>
      <c r="J28" s="114"/>
      <c r="K28" s="121"/>
      <c r="L28" s="104"/>
      <c r="M28" s="106"/>
      <c r="N28" s="106"/>
      <c r="O28" s="108"/>
      <c r="P28" s="109"/>
      <c r="Q28" s="104"/>
      <c r="R28" s="102"/>
      <c r="S28" s="109"/>
    </row>
    <row r="29" spans="1:19" ht="15.75" hidden="1" customHeight="1" x14ac:dyDescent="0.25">
      <c r="A29" s="57">
        <v>45139</v>
      </c>
      <c r="B29" s="111">
        <v>4155.2</v>
      </c>
      <c r="C29" s="111">
        <v>1470.7</v>
      </c>
      <c r="D29" s="59" t="s">
        <v>52</v>
      </c>
      <c r="E29" s="111" t="s">
        <v>23</v>
      </c>
      <c r="F29" s="113">
        <f>7017.24+4299.45</f>
        <v>11316.689999999999</v>
      </c>
      <c r="G29" s="113">
        <f>7342+227+57</f>
        <v>7626</v>
      </c>
      <c r="H29" s="113">
        <f>785+1508+20+15+15</f>
        <v>2343</v>
      </c>
      <c r="I29" s="113">
        <f t="shared" ref="I29" si="18">F29-(G29+H29)</f>
        <v>1347.6899999999987</v>
      </c>
      <c r="J29" s="113">
        <f>I29-1</f>
        <v>1346.6899999999987</v>
      </c>
      <c r="K29" s="120" t="s">
        <v>82</v>
      </c>
      <c r="L29" s="103">
        <f>J29</f>
        <v>1346.6899999999987</v>
      </c>
      <c r="M29" s="105"/>
      <c r="N29" s="105"/>
      <c r="O29" s="107">
        <v>1176.5619999999999</v>
      </c>
      <c r="P29" s="99">
        <f>O29*M3</f>
        <v>5635.7319799999996</v>
      </c>
      <c r="Q29" s="119"/>
      <c r="R29" s="101">
        <f t="shared" ref="R29" si="19">L29-O29</f>
        <v>170.12799999999879</v>
      </c>
      <c r="S29" s="99">
        <f>R29*M3</f>
        <v>814.91311999999425</v>
      </c>
    </row>
    <row r="30" spans="1:19" ht="15.75" hidden="1" customHeight="1" x14ac:dyDescent="0.25">
      <c r="A30" s="57">
        <v>45139</v>
      </c>
      <c r="B30" s="112"/>
      <c r="C30" s="112"/>
      <c r="D30" s="59" t="s">
        <v>53</v>
      </c>
      <c r="E30" s="112"/>
      <c r="F30" s="114"/>
      <c r="G30" s="114"/>
      <c r="H30" s="114"/>
      <c r="I30" s="114"/>
      <c r="J30" s="114"/>
      <c r="K30" s="121"/>
      <c r="L30" s="104"/>
      <c r="M30" s="106"/>
      <c r="N30" s="106"/>
      <c r="O30" s="108"/>
      <c r="P30" s="109"/>
      <c r="Q30" s="104"/>
      <c r="R30" s="102"/>
      <c r="S30" s="109"/>
    </row>
    <row r="31" spans="1:19" ht="15.75" hidden="1" customHeight="1" x14ac:dyDescent="0.25">
      <c r="A31" s="57">
        <v>45170</v>
      </c>
      <c r="B31" s="111">
        <v>4155.2</v>
      </c>
      <c r="C31" s="111">
        <v>1470.7</v>
      </c>
      <c r="D31" s="59" t="s">
        <v>52</v>
      </c>
      <c r="E31" s="111" t="s">
        <v>23</v>
      </c>
      <c r="F31" s="113">
        <f>8090.04+3843.66</f>
        <v>11933.7</v>
      </c>
      <c r="G31" s="113">
        <f>6173+235+63</f>
        <v>6471</v>
      </c>
      <c r="H31" s="113">
        <f>687+1137+20+15+15</f>
        <v>1874</v>
      </c>
      <c r="I31" s="113">
        <f t="shared" ref="I31" si="20">F31-(G31+H31)</f>
        <v>3588.7000000000007</v>
      </c>
      <c r="J31" s="113">
        <f t="shared" ref="J31" si="21">I31</f>
        <v>3588.7000000000007</v>
      </c>
      <c r="K31" s="120" t="s">
        <v>83</v>
      </c>
      <c r="L31" s="103">
        <f t="shared" ref="L31" si="22">IF(J31&lt;0,0,I31)</f>
        <v>3588.7000000000007</v>
      </c>
      <c r="M31" s="105"/>
      <c r="N31" s="105"/>
      <c r="O31" s="107">
        <v>1176.5619999999999</v>
      </c>
      <c r="P31" s="99">
        <f>O31*M3</f>
        <v>5635.7319799999996</v>
      </c>
      <c r="Q31" s="119"/>
      <c r="R31" s="101">
        <f t="shared" ref="R31" si="23">L31-O31</f>
        <v>2412.1380000000008</v>
      </c>
      <c r="S31" s="99">
        <f>R31*M3</f>
        <v>11554.141020000005</v>
      </c>
    </row>
    <row r="32" spans="1:19" ht="15.75" hidden="1" customHeight="1" x14ac:dyDescent="0.25">
      <c r="A32" s="57">
        <v>45170</v>
      </c>
      <c r="B32" s="112"/>
      <c r="C32" s="112"/>
      <c r="D32" s="59" t="s">
        <v>53</v>
      </c>
      <c r="E32" s="112"/>
      <c r="F32" s="114"/>
      <c r="G32" s="114"/>
      <c r="H32" s="114"/>
      <c r="I32" s="114"/>
      <c r="J32" s="114"/>
      <c r="K32" s="121"/>
      <c r="L32" s="104"/>
      <c r="M32" s="106"/>
      <c r="N32" s="106"/>
      <c r="O32" s="108"/>
      <c r="P32" s="109"/>
      <c r="Q32" s="104"/>
      <c r="R32" s="102"/>
      <c r="S32" s="109"/>
    </row>
    <row r="33" spans="1:19" ht="15.75" hidden="1" customHeight="1" x14ac:dyDescent="0.25">
      <c r="A33" s="57">
        <v>45200</v>
      </c>
      <c r="B33" s="111">
        <v>4155.2</v>
      </c>
      <c r="C33" s="111">
        <v>1470.7</v>
      </c>
      <c r="D33" s="59" t="s">
        <v>52</v>
      </c>
      <c r="E33" s="111" t="s">
        <v>23</v>
      </c>
      <c r="F33" s="113">
        <f>8489.08+4111.08</f>
        <v>12600.16</v>
      </c>
      <c r="G33" s="113">
        <f>8848+487+213</f>
        <v>9548</v>
      </c>
      <c r="H33" s="113">
        <f>820+1092+20+15+15</f>
        <v>1962</v>
      </c>
      <c r="I33" s="113">
        <f t="shared" ref="I33" si="24">F33-(G33+H33)</f>
        <v>1090.1599999999999</v>
      </c>
      <c r="J33" s="113">
        <f t="shared" ref="J33" si="25">I33</f>
        <v>1090.1599999999999</v>
      </c>
      <c r="K33" s="120" t="s">
        <v>84</v>
      </c>
      <c r="L33" s="103">
        <f t="shared" ref="L33" si="26">IF(J33&lt;0,0,I33)</f>
        <v>1090.1599999999999</v>
      </c>
      <c r="M33" s="105"/>
      <c r="N33" s="105"/>
      <c r="O33" s="107">
        <v>1176.5619999999999</v>
      </c>
      <c r="P33" s="99">
        <f>O33*M3</f>
        <v>5635.7319799999996</v>
      </c>
      <c r="Q33" s="119">
        <f t="shared" ref="Q33" si="27">L33-O33</f>
        <v>-86.402000000000044</v>
      </c>
      <c r="R33" s="101"/>
      <c r="S33" s="99">
        <f>Q33*M3</f>
        <v>-413.86558000000019</v>
      </c>
    </row>
    <row r="34" spans="1:19" ht="15.75" hidden="1" customHeight="1" x14ac:dyDescent="0.25">
      <c r="A34" s="57">
        <v>45200</v>
      </c>
      <c r="B34" s="112"/>
      <c r="C34" s="112"/>
      <c r="D34" s="59" t="s">
        <v>53</v>
      </c>
      <c r="E34" s="112"/>
      <c r="F34" s="114"/>
      <c r="G34" s="114"/>
      <c r="H34" s="114"/>
      <c r="I34" s="114"/>
      <c r="J34" s="114"/>
      <c r="K34" s="121"/>
      <c r="L34" s="104"/>
      <c r="M34" s="106"/>
      <c r="N34" s="106"/>
      <c r="O34" s="108"/>
      <c r="P34" s="109"/>
      <c r="Q34" s="104"/>
      <c r="R34" s="102"/>
      <c r="S34" s="109"/>
    </row>
    <row r="35" spans="1:19" ht="15.75" hidden="1" customHeight="1" x14ac:dyDescent="0.25">
      <c r="A35" s="57">
        <v>45231</v>
      </c>
      <c r="B35" s="111">
        <v>4155.2</v>
      </c>
      <c r="C35" s="111">
        <v>1470.7</v>
      </c>
      <c r="D35" s="59" t="s">
        <v>52</v>
      </c>
      <c r="E35" s="111" t="s">
        <v>23</v>
      </c>
      <c r="F35" s="113">
        <f>7677.6+4153.95</f>
        <v>11831.55</v>
      </c>
      <c r="G35" s="113">
        <f>7374+1073+418</f>
        <v>8865</v>
      </c>
      <c r="H35" s="113">
        <f>825+974+20+15+15</f>
        <v>1849</v>
      </c>
      <c r="I35" s="113">
        <f t="shared" ref="I35" si="28">F35-(G35+H35)</f>
        <v>1117.5499999999993</v>
      </c>
      <c r="J35" s="113">
        <f t="shared" ref="J35" si="29">I35</f>
        <v>1117.5499999999993</v>
      </c>
      <c r="K35" s="120" t="s">
        <v>85</v>
      </c>
      <c r="L35" s="103">
        <f t="shared" ref="L35" si="30">IF(J35&lt;0,0,I35)</f>
        <v>1117.5499999999993</v>
      </c>
      <c r="M35" s="105"/>
      <c r="N35" s="105"/>
      <c r="O35" s="107">
        <v>1176.5619999999999</v>
      </c>
      <c r="P35" s="99">
        <f>O35*M3</f>
        <v>5635.7319799999996</v>
      </c>
      <c r="Q35" s="119">
        <f t="shared" ref="Q35" si="31">L35-O35</f>
        <v>-59.012000000000626</v>
      </c>
      <c r="R35" s="101"/>
      <c r="S35" s="99">
        <f>Q35*M3</f>
        <v>-282.66748000000302</v>
      </c>
    </row>
    <row r="36" spans="1:19" ht="15.75" hidden="1" customHeight="1" x14ac:dyDescent="0.25">
      <c r="A36" s="57">
        <v>45231</v>
      </c>
      <c r="B36" s="112"/>
      <c r="C36" s="112"/>
      <c r="D36" s="59" t="s">
        <v>53</v>
      </c>
      <c r="E36" s="112"/>
      <c r="F36" s="114"/>
      <c r="G36" s="114"/>
      <c r="H36" s="114"/>
      <c r="I36" s="114"/>
      <c r="J36" s="114"/>
      <c r="K36" s="121"/>
      <c r="L36" s="104"/>
      <c r="M36" s="106"/>
      <c r="N36" s="106"/>
      <c r="O36" s="108"/>
      <c r="P36" s="109"/>
      <c r="Q36" s="104"/>
      <c r="R36" s="102"/>
      <c r="S36" s="109"/>
    </row>
    <row r="37" spans="1:19" ht="15.75" hidden="1" customHeight="1" x14ac:dyDescent="0.25">
      <c r="A37" s="57">
        <v>45261</v>
      </c>
      <c r="B37" s="111">
        <v>4155.2</v>
      </c>
      <c r="C37" s="111">
        <v>1470.7</v>
      </c>
      <c r="D37" s="59" t="s">
        <v>52</v>
      </c>
      <c r="E37" s="111" t="s">
        <v>23</v>
      </c>
      <c r="F37" s="113">
        <f>7410.48+5193.63</f>
        <v>12604.11</v>
      </c>
      <c r="G37" s="113">
        <f>6682+419+131</f>
        <v>7232</v>
      </c>
      <c r="H37" s="113">
        <f>893+1033+20+15+15</f>
        <v>1976</v>
      </c>
      <c r="I37" s="113">
        <f t="shared" ref="I37" si="32">F37-(G37+H37)</f>
        <v>3396.1100000000006</v>
      </c>
      <c r="J37" s="113">
        <f t="shared" ref="J37" si="33">I37</f>
        <v>3396.1100000000006</v>
      </c>
      <c r="K37" s="120" t="s">
        <v>86</v>
      </c>
      <c r="L37" s="103">
        <f t="shared" ref="L37" si="34">IF(J37&lt;0,0,I37)</f>
        <v>3396.1100000000006</v>
      </c>
      <c r="M37" s="105"/>
      <c r="N37" s="105"/>
      <c r="O37" s="107">
        <v>1176.5619999999999</v>
      </c>
      <c r="P37" s="99">
        <f>O37*M3</f>
        <v>5635.7319799999996</v>
      </c>
      <c r="Q37" s="119"/>
      <c r="R37" s="101">
        <f>L37-O37</f>
        <v>2219.5480000000007</v>
      </c>
      <c r="S37" s="99">
        <f>R37*M3</f>
        <v>10631.634920000004</v>
      </c>
    </row>
    <row r="38" spans="1:19" ht="15.75" hidden="1" customHeight="1" x14ac:dyDescent="0.25">
      <c r="A38" s="57">
        <v>45261</v>
      </c>
      <c r="B38" s="112"/>
      <c r="C38" s="112"/>
      <c r="D38" s="59" t="s">
        <v>53</v>
      </c>
      <c r="E38" s="112"/>
      <c r="F38" s="114"/>
      <c r="G38" s="114"/>
      <c r="H38" s="114"/>
      <c r="I38" s="114"/>
      <c r="J38" s="114"/>
      <c r="K38" s="121"/>
      <c r="L38" s="104"/>
      <c r="M38" s="106"/>
      <c r="N38" s="106"/>
      <c r="O38" s="108"/>
      <c r="P38" s="109"/>
      <c r="Q38" s="104"/>
      <c r="R38" s="102"/>
      <c r="S38" s="109"/>
    </row>
    <row r="39" spans="1:19" s="20" customFormat="1" ht="31.5" hidden="1" customHeight="1" x14ac:dyDescent="0.25">
      <c r="A39" s="75"/>
      <c r="L39" s="20">
        <f>SUM(L15:L38)</f>
        <v>20022.97</v>
      </c>
      <c r="O39" s="20">
        <f>SUM(O15:O38)</f>
        <v>14118.743999999999</v>
      </c>
      <c r="P39" s="20">
        <f>SUM(P15:P38)</f>
        <v>67628.783759999977</v>
      </c>
      <c r="R39" s="20">
        <f>SUM(Q15:R38)</f>
        <v>5904.2260000000006</v>
      </c>
      <c r="S39" s="20">
        <f>SUM(S15:S38)</f>
        <v>28281.242540000003</v>
      </c>
    </row>
    <row r="40" spans="1:19" s="20" customFormat="1" ht="31.5" hidden="1" customHeight="1" x14ac:dyDescent="0.25">
      <c r="A40" s="75"/>
      <c r="L40" s="20">
        <f>L39*M3</f>
        <v>95910.026300000012</v>
      </c>
    </row>
    <row r="41" spans="1:19" hidden="1" x14ac:dyDescent="0.25"/>
    <row r="42" spans="1:19" hidden="1" x14ac:dyDescent="0.25"/>
    <row r="43" spans="1:19" ht="15.75" hidden="1" customHeight="1" x14ac:dyDescent="0.25">
      <c r="A43" s="57">
        <v>45292</v>
      </c>
      <c r="B43" s="111">
        <v>4155.2</v>
      </c>
      <c r="C43" s="111">
        <v>1470.7</v>
      </c>
      <c r="D43" s="59" t="s">
        <v>52</v>
      </c>
      <c r="E43" s="111" t="s">
        <v>23</v>
      </c>
      <c r="F43" s="113">
        <f>6720+9528</f>
        <v>16248</v>
      </c>
      <c r="G43" s="113">
        <f>8120+454+134</f>
        <v>8708</v>
      </c>
      <c r="H43" s="113">
        <f>717+1174+20+15+15</f>
        <v>1941</v>
      </c>
      <c r="I43" s="113">
        <f>F43-(G43+H43)</f>
        <v>5599</v>
      </c>
      <c r="J43" s="113">
        <f>I43</f>
        <v>5599</v>
      </c>
      <c r="K43" s="115" t="s">
        <v>87</v>
      </c>
      <c r="L43" s="103">
        <f>IF(J43&lt;0,0,I43)</f>
        <v>5599</v>
      </c>
      <c r="M43" s="105"/>
      <c r="N43" s="105"/>
      <c r="O43" s="107">
        <v>1176.5619999999999</v>
      </c>
      <c r="P43" s="99">
        <f>O43*O2</f>
        <v>5635.7319799999996</v>
      </c>
      <c r="Q43" s="119"/>
      <c r="R43" s="101">
        <f>L43-O43</f>
        <v>4422.4380000000001</v>
      </c>
      <c r="S43" s="99">
        <f>R43*O2</f>
        <v>21183.478020000002</v>
      </c>
    </row>
    <row r="44" spans="1:19" ht="15.75" hidden="1" customHeight="1" x14ac:dyDescent="0.25">
      <c r="A44" s="57">
        <v>45292</v>
      </c>
      <c r="B44" s="112"/>
      <c r="C44" s="112"/>
      <c r="D44" s="59" t="s">
        <v>53</v>
      </c>
      <c r="E44" s="112"/>
      <c r="F44" s="114"/>
      <c r="G44" s="114"/>
      <c r="H44" s="114"/>
      <c r="I44" s="114"/>
      <c r="J44" s="114"/>
      <c r="K44" s="116"/>
      <c r="L44" s="104"/>
      <c r="M44" s="106"/>
      <c r="N44" s="106"/>
      <c r="O44" s="108"/>
      <c r="P44" s="109"/>
      <c r="Q44" s="104"/>
      <c r="R44" s="102"/>
      <c r="S44" s="109"/>
    </row>
    <row r="45" spans="1:19" ht="15.75" hidden="1" customHeight="1" x14ac:dyDescent="0.25">
      <c r="A45" s="57">
        <v>45323</v>
      </c>
      <c r="B45" s="111">
        <v>4155.2</v>
      </c>
      <c r="C45" s="111">
        <v>1470.7</v>
      </c>
      <c r="D45" s="59" t="s">
        <v>52</v>
      </c>
      <c r="E45" s="111" t="s">
        <v>23</v>
      </c>
      <c r="F45" s="113">
        <f>4875+7906</f>
        <v>12781</v>
      </c>
      <c r="G45" s="113">
        <f>8243+527+198</f>
        <v>8968</v>
      </c>
      <c r="H45" s="113">
        <f>903+1068+20+15+15</f>
        <v>2021</v>
      </c>
      <c r="I45" s="113">
        <f t="shared" ref="I45" si="35">F45-(G45+H45)</f>
        <v>1792</v>
      </c>
      <c r="J45" s="113">
        <f t="shared" ref="J45" si="36">I45</f>
        <v>1792</v>
      </c>
      <c r="K45" s="115" t="s">
        <v>88</v>
      </c>
      <c r="L45" s="103">
        <f>IF(J45&lt;0,0,I45)</f>
        <v>1792</v>
      </c>
      <c r="M45" s="105"/>
      <c r="N45" s="105"/>
      <c r="O45" s="107">
        <v>1176.5619999999999</v>
      </c>
      <c r="P45" s="99">
        <f>O45*O2</f>
        <v>5635.7319799999996</v>
      </c>
      <c r="Q45" s="119"/>
      <c r="R45" s="101">
        <f>L45-O45</f>
        <v>615.4380000000001</v>
      </c>
      <c r="S45" s="99">
        <f>R45*O2</f>
        <v>2947.9480200000007</v>
      </c>
    </row>
    <row r="46" spans="1:19" ht="15.75" hidden="1" customHeight="1" x14ac:dyDescent="0.25">
      <c r="A46" s="57">
        <v>45323</v>
      </c>
      <c r="B46" s="112"/>
      <c r="C46" s="112"/>
      <c r="D46" s="59" t="s">
        <v>53</v>
      </c>
      <c r="E46" s="112"/>
      <c r="F46" s="114"/>
      <c r="G46" s="114"/>
      <c r="H46" s="114"/>
      <c r="I46" s="114"/>
      <c r="J46" s="114"/>
      <c r="K46" s="116"/>
      <c r="L46" s="104"/>
      <c r="M46" s="106"/>
      <c r="N46" s="106"/>
      <c r="O46" s="108"/>
      <c r="P46" s="109"/>
      <c r="Q46" s="104"/>
      <c r="R46" s="102"/>
      <c r="S46" s="109"/>
    </row>
    <row r="47" spans="1:19" ht="15.75" hidden="1" customHeight="1" x14ac:dyDescent="0.25">
      <c r="A47" s="57">
        <v>45352</v>
      </c>
      <c r="B47" s="111">
        <v>4155.2</v>
      </c>
      <c r="C47" s="111">
        <v>1470.7</v>
      </c>
      <c r="D47" s="59" t="s">
        <v>52</v>
      </c>
      <c r="E47" s="111" t="s">
        <v>23</v>
      </c>
      <c r="F47" s="113">
        <f>4436+8051</f>
        <v>12487</v>
      </c>
      <c r="G47" s="113">
        <f>7431+518+199</f>
        <v>8148</v>
      </c>
      <c r="H47" s="113">
        <f>971+20+15+15+674</f>
        <v>1695</v>
      </c>
      <c r="I47" s="113">
        <f>F47-(G47+H47)</f>
        <v>2644</v>
      </c>
      <c r="J47" s="113">
        <f>I47</f>
        <v>2644</v>
      </c>
      <c r="K47" s="115" t="s">
        <v>89</v>
      </c>
      <c r="L47" s="103">
        <f>IF(J47&lt;0,0,I47)</f>
        <v>2644</v>
      </c>
      <c r="M47" s="105"/>
      <c r="N47" s="105"/>
      <c r="O47" s="107">
        <v>1176.5619999999999</v>
      </c>
      <c r="P47" s="99">
        <f>O47*O2</f>
        <v>5635.7319799999996</v>
      </c>
      <c r="Q47" s="119"/>
      <c r="R47" s="101">
        <f>L47-O47</f>
        <v>1467.4380000000001</v>
      </c>
      <c r="S47" s="99">
        <f>R47*O2</f>
        <v>7029.0280200000007</v>
      </c>
    </row>
    <row r="48" spans="1:19" ht="15.75" hidden="1" customHeight="1" x14ac:dyDescent="0.25">
      <c r="A48" s="57">
        <v>45352</v>
      </c>
      <c r="B48" s="112"/>
      <c r="C48" s="112"/>
      <c r="D48" s="59" t="s">
        <v>53</v>
      </c>
      <c r="E48" s="112"/>
      <c r="F48" s="114"/>
      <c r="G48" s="114"/>
      <c r="H48" s="114"/>
      <c r="I48" s="114"/>
      <c r="J48" s="114"/>
      <c r="K48" s="116"/>
      <c r="L48" s="104"/>
      <c r="M48" s="106"/>
      <c r="N48" s="106"/>
      <c r="O48" s="108"/>
      <c r="P48" s="109"/>
      <c r="Q48" s="104"/>
      <c r="R48" s="102"/>
      <c r="S48" s="109"/>
    </row>
    <row r="49" spans="1:19" ht="15.75" hidden="1" customHeight="1" x14ac:dyDescent="0.25">
      <c r="A49" s="57">
        <v>45383</v>
      </c>
      <c r="B49" s="111">
        <v>4155.2</v>
      </c>
      <c r="C49" s="111">
        <v>1470.7</v>
      </c>
      <c r="D49" s="59" t="s">
        <v>52</v>
      </c>
      <c r="E49" s="111" t="s">
        <v>23</v>
      </c>
      <c r="F49" s="113">
        <f>4296+8422</f>
        <v>12718</v>
      </c>
      <c r="G49" s="113">
        <f>11700+406+159</f>
        <v>12265</v>
      </c>
      <c r="H49" s="113">
        <f>858+1232+20+15+15</f>
        <v>2140</v>
      </c>
      <c r="I49" s="113">
        <f>F49-(G49+H49)</f>
        <v>-1687</v>
      </c>
      <c r="J49" s="113">
        <f>I49</f>
        <v>-1687</v>
      </c>
      <c r="K49" s="115" t="s">
        <v>90</v>
      </c>
      <c r="L49" s="103">
        <f>IF(J49&lt;0,0,I49)</f>
        <v>0</v>
      </c>
      <c r="M49" s="105"/>
      <c r="N49" s="105"/>
      <c r="O49" s="107">
        <v>1176.5619999999999</v>
      </c>
      <c r="P49" s="99">
        <f>O49*O2</f>
        <v>5635.7319799999996</v>
      </c>
      <c r="Q49" s="119">
        <f t="shared" ref="Q49" si="37">L49-O49</f>
        <v>-1176.5619999999999</v>
      </c>
      <c r="R49" s="101"/>
      <c r="S49" s="99">
        <f>R49*R8</f>
        <v>0</v>
      </c>
    </row>
    <row r="50" spans="1:19" ht="15.75" hidden="1" customHeight="1" x14ac:dyDescent="0.25">
      <c r="A50" s="57">
        <v>45383</v>
      </c>
      <c r="B50" s="112"/>
      <c r="C50" s="112"/>
      <c r="D50" s="59" t="s">
        <v>53</v>
      </c>
      <c r="E50" s="112"/>
      <c r="F50" s="114"/>
      <c r="G50" s="114"/>
      <c r="H50" s="114"/>
      <c r="I50" s="114"/>
      <c r="J50" s="114"/>
      <c r="K50" s="116"/>
      <c r="L50" s="104"/>
      <c r="M50" s="106"/>
      <c r="N50" s="106"/>
      <c r="O50" s="108"/>
      <c r="P50" s="109"/>
      <c r="Q50" s="104"/>
      <c r="R50" s="102"/>
      <c r="S50" s="109"/>
    </row>
    <row r="51" spans="1:19" ht="15.75" hidden="1" customHeight="1" x14ac:dyDescent="0.25">
      <c r="A51" s="57">
        <v>45413</v>
      </c>
      <c r="B51" s="111">
        <v>4155.2</v>
      </c>
      <c r="C51" s="111">
        <v>1470.7</v>
      </c>
      <c r="D51" s="59" t="s">
        <v>52</v>
      </c>
      <c r="E51" s="111" t="s">
        <v>23</v>
      </c>
      <c r="F51" s="113">
        <f>3761+6523</f>
        <v>10284</v>
      </c>
      <c r="G51" s="113">
        <f>7088+416+157</f>
        <v>7661</v>
      </c>
      <c r="H51" s="113">
        <f>814+1007+20+15+15</f>
        <v>1871</v>
      </c>
      <c r="I51" s="113">
        <f>F51-(G51+H51)</f>
        <v>752</v>
      </c>
      <c r="J51" s="113">
        <f>I51</f>
        <v>752</v>
      </c>
      <c r="K51" s="115" t="s">
        <v>91</v>
      </c>
      <c r="L51" s="103">
        <f>IF(J51&lt;0,0,I51)</f>
        <v>752</v>
      </c>
      <c r="M51" s="105"/>
      <c r="N51" s="105"/>
      <c r="O51" s="107">
        <v>1176.5619999999999</v>
      </c>
      <c r="P51" s="99">
        <f>O51*O2</f>
        <v>5635.7319799999996</v>
      </c>
      <c r="Q51" s="119">
        <f t="shared" ref="Q51" si="38">L51-O51</f>
        <v>-424.5619999999999</v>
      </c>
      <c r="R51" s="101"/>
      <c r="S51" s="99">
        <f>R51*O2</f>
        <v>0</v>
      </c>
    </row>
    <row r="52" spans="1:19" ht="15.75" hidden="1" customHeight="1" x14ac:dyDescent="0.25">
      <c r="A52" s="57">
        <v>45413</v>
      </c>
      <c r="B52" s="112"/>
      <c r="C52" s="112"/>
      <c r="D52" s="59" t="s">
        <v>53</v>
      </c>
      <c r="E52" s="112"/>
      <c r="F52" s="114"/>
      <c r="G52" s="114"/>
      <c r="H52" s="114"/>
      <c r="I52" s="114"/>
      <c r="J52" s="114"/>
      <c r="K52" s="116"/>
      <c r="L52" s="104"/>
      <c r="M52" s="106"/>
      <c r="N52" s="106"/>
      <c r="O52" s="108"/>
      <c r="P52" s="109"/>
      <c r="Q52" s="104"/>
      <c r="R52" s="102"/>
      <c r="S52" s="109"/>
    </row>
    <row r="53" spans="1:19" ht="15.75" hidden="1" customHeight="1" x14ac:dyDescent="0.25">
      <c r="A53" s="57">
        <v>45444</v>
      </c>
      <c r="B53" s="111">
        <v>4155.2</v>
      </c>
      <c r="C53" s="111">
        <v>1470.7</v>
      </c>
      <c r="D53" s="59" t="s">
        <v>52</v>
      </c>
      <c r="E53" s="111" t="s">
        <v>23</v>
      </c>
      <c r="F53" s="113">
        <f>4387+7056</f>
        <v>11443</v>
      </c>
      <c r="G53" s="113">
        <f>7992+287+104</f>
        <v>8383</v>
      </c>
      <c r="H53" s="113">
        <f>1387+20+15+15+865</f>
        <v>2302</v>
      </c>
      <c r="I53" s="113">
        <f>F53-(G53+H53)</f>
        <v>758</v>
      </c>
      <c r="J53" s="113">
        <f>I53</f>
        <v>758</v>
      </c>
      <c r="K53" s="115" t="s">
        <v>92</v>
      </c>
      <c r="L53" s="103">
        <f>IF(J53&lt;0,0,I53)</f>
        <v>758</v>
      </c>
      <c r="M53" s="105"/>
      <c r="N53" s="105"/>
      <c r="O53" s="107">
        <v>1176.5619999999999</v>
      </c>
      <c r="P53" s="99">
        <f>O53*O2</f>
        <v>5635.7319799999996</v>
      </c>
      <c r="Q53" s="119">
        <f>L53-O53</f>
        <v>-418.5619999999999</v>
      </c>
      <c r="R53" s="101"/>
      <c r="S53" s="99">
        <f>R53*O2</f>
        <v>0</v>
      </c>
    </row>
    <row r="54" spans="1:19" ht="15.75" hidden="1" customHeight="1" x14ac:dyDescent="0.25">
      <c r="A54" s="57">
        <v>45444</v>
      </c>
      <c r="B54" s="112"/>
      <c r="C54" s="112"/>
      <c r="D54" s="59" t="s">
        <v>53</v>
      </c>
      <c r="E54" s="112"/>
      <c r="F54" s="114"/>
      <c r="G54" s="114"/>
      <c r="H54" s="114"/>
      <c r="I54" s="114"/>
      <c r="J54" s="114"/>
      <c r="K54" s="116"/>
      <c r="L54" s="104"/>
      <c r="M54" s="106"/>
      <c r="N54" s="106"/>
      <c r="O54" s="108"/>
      <c r="P54" s="109"/>
      <c r="Q54" s="104"/>
      <c r="R54" s="102"/>
      <c r="S54" s="109"/>
    </row>
    <row r="55" spans="1:19" ht="15.75" hidden="1" customHeight="1" x14ac:dyDescent="0.25">
      <c r="A55" s="57">
        <v>45474</v>
      </c>
      <c r="B55" s="111">
        <v>4155.2</v>
      </c>
      <c r="C55" s="111">
        <v>1470.7</v>
      </c>
      <c r="D55" s="59" t="s">
        <v>52</v>
      </c>
      <c r="E55" s="111" t="s">
        <v>23</v>
      </c>
      <c r="F55" s="113">
        <f>4222+7004</f>
        <v>11226</v>
      </c>
      <c r="G55" s="113">
        <f>5733+194+54</f>
        <v>5981</v>
      </c>
      <c r="H55" s="113">
        <f>662+1529+20+15+15</f>
        <v>2241</v>
      </c>
      <c r="I55" s="113">
        <f>F55-(G55+H55)</f>
        <v>3004</v>
      </c>
      <c r="J55" s="113">
        <f t="shared" ref="J55" si="39">I55</f>
        <v>3004</v>
      </c>
      <c r="K55" s="115" t="s">
        <v>93</v>
      </c>
      <c r="L55" s="103">
        <f t="shared" ref="L55" si="40">IF(J55&lt;0,0,I55)</f>
        <v>3004</v>
      </c>
      <c r="M55" s="105"/>
      <c r="N55" s="105"/>
      <c r="O55" s="107">
        <v>1176.5619999999999</v>
      </c>
      <c r="P55" s="99">
        <f>O55*O3</f>
        <v>6129.8880199999994</v>
      </c>
      <c r="Q55" s="119"/>
      <c r="R55" s="101">
        <f>L55-O55</f>
        <v>1827.4380000000001</v>
      </c>
      <c r="S55" s="99">
        <f>R55*O3</f>
        <v>9520.9519799999998</v>
      </c>
    </row>
    <row r="56" spans="1:19" ht="15.75" hidden="1" customHeight="1" x14ac:dyDescent="0.25">
      <c r="A56" s="57">
        <v>45474</v>
      </c>
      <c r="B56" s="112"/>
      <c r="C56" s="112"/>
      <c r="D56" s="59" t="s">
        <v>53</v>
      </c>
      <c r="E56" s="112"/>
      <c r="F56" s="114"/>
      <c r="G56" s="114"/>
      <c r="H56" s="114"/>
      <c r="I56" s="114"/>
      <c r="J56" s="114"/>
      <c r="K56" s="116"/>
      <c r="L56" s="104"/>
      <c r="M56" s="106"/>
      <c r="N56" s="106"/>
      <c r="O56" s="108"/>
      <c r="P56" s="109"/>
      <c r="Q56" s="104"/>
      <c r="R56" s="102"/>
      <c r="S56" s="109"/>
    </row>
    <row r="57" spans="1:19" ht="15.75" hidden="1" customHeight="1" x14ac:dyDescent="0.25">
      <c r="A57" s="57">
        <v>45505</v>
      </c>
      <c r="B57" s="111">
        <v>4155.2</v>
      </c>
      <c r="C57" s="111">
        <v>1470.7</v>
      </c>
      <c r="D57" s="59" t="s">
        <v>52</v>
      </c>
      <c r="E57" s="111" t="s">
        <v>23</v>
      </c>
      <c r="F57" s="113">
        <f>4456+6888</f>
        <v>11344</v>
      </c>
      <c r="G57" s="113">
        <f>7617+276+75</f>
        <v>7968</v>
      </c>
      <c r="H57" s="113">
        <f>1370+20+15+15+717</f>
        <v>2137</v>
      </c>
      <c r="I57" s="113">
        <f>F57-(G57+H57)</f>
        <v>1239</v>
      </c>
      <c r="J57" s="113">
        <f>I57</f>
        <v>1239</v>
      </c>
      <c r="K57" s="115" t="s">
        <v>94</v>
      </c>
      <c r="L57" s="103">
        <f t="shared" ref="L57" si="41">IF(J57&lt;0,0,I57)</f>
        <v>1239</v>
      </c>
      <c r="M57" s="105"/>
      <c r="N57" s="105"/>
      <c r="O57" s="107">
        <v>1176.5619999999999</v>
      </c>
      <c r="P57" s="99">
        <f>O57*O3</f>
        <v>6129.8880199999994</v>
      </c>
      <c r="Q57" s="119"/>
      <c r="R57" s="101">
        <f>R54+R55</f>
        <v>1827.4380000000001</v>
      </c>
      <c r="S57" s="99">
        <f>S54+S55</f>
        <v>9520.9519799999998</v>
      </c>
    </row>
    <row r="58" spans="1:19" ht="15.75" hidden="1" customHeight="1" x14ac:dyDescent="0.25">
      <c r="A58" s="57">
        <v>45505</v>
      </c>
      <c r="B58" s="112"/>
      <c r="C58" s="112"/>
      <c r="D58" s="59" t="s">
        <v>53</v>
      </c>
      <c r="E58" s="112"/>
      <c r="F58" s="114"/>
      <c r="G58" s="114"/>
      <c r="H58" s="114"/>
      <c r="I58" s="114"/>
      <c r="J58" s="114"/>
      <c r="K58" s="116"/>
      <c r="L58" s="104"/>
      <c r="M58" s="106"/>
      <c r="N58" s="106"/>
      <c r="O58" s="108"/>
      <c r="P58" s="109"/>
      <c r="Q58" s="104"/>
      <c r="R58" s="102"/>
      <c r="S58" s="109"/>
    </row>
    <row r="59" spans="1:19" ht="15.75" hidden="1" customHeight="1" x14ac:dyDescent="0.25">
      <c r="A59" s="57">
        <v>45536</v>
      </c>
      <c r="B59" s="111">
        <v>4155.2</v>
      </c>
      <c r="C59" s="111">
        <v>1470.7</v>
      </c>
      <c r="D59" s="59" t="s">
        <v>52</v>
      </c>
      <c r="E59" s="111" t="s">
        <v>23</v>
      </c>
      <c r="F59" s="113">
        <f>3931+5945</f>
        <v>9876</v>
      </c>
      <c r="G59" s="113">
        <f>7740+223+57</f>
        <v>8020</v>
      </c>
      <c r="H59" s="113">
        <f>742+1388+20+15+15</f>
        <v>2180</v>
      </c>
      <c r="I59" s="113">
        <f t="shared" ref="I59" si="42">F59-(G59+H59)</f>
        <v>-324</v>
      </c>
      <c r="J59" s="113">
        <f t="shared" ref="J59" si="43">I59</f>
        <v>-324</v>
      </c>
      <c r="K59" s="115" t="s">
        <v>95</v>
      </c>
      <c r="L59" s="103">
        <f>IF(J59&lt;0,0,I59)</f>
        <v>0</v>
      </c>
      <c r="M59" s="105"/>
      <c r="N59" s="105"/>
      <c r="O59" s="107">
        <v>1176.5619999999999</v>
      </c>
      <c r="P59" s="99">
        <f>O59*O3</f>
        <v>6129.8880199999994</v>
      </c>
      <c r="Q59" s="119">
        <f t="shared" ref="Q59" si="44">L59-O59</f>
        <v>-1176.5619999999999</v>
      </c>
      <c r="R59" s="101"/>
      <c r="S59" s="99">
        <v>0</v>
      </c>
    </row>
    <row r="60" spans="1:19" ht="15.75" hidden="1" customHeight="1" x14ac:dyDescent="0.25">
      <c r="A60" s="57">
        <v>45536</v>
      </c>
      <c r="B60" s="112"/>
      <c r="C60" s="112"/>
      <c r="D60" s="59" t="s">
        <v>53</v>
      </c>
      <c r="E60" s="112"/>
      <c r="F60" s="114"/>
      <c r="G60" s="114"/>
      <c r="H60" s="114"/>
      <c r="I60" s="114"/>
      <c r="J60" s="114"/>
      <c r="K60" s="116"/>
      <c r="L60" s="104"/>
      <c r="M60" s="106"/>
      <c r="N60" s="106"/>
      <c r="O60" s="108"/>
      <c r="P60" s="109"/>
      <c r="Q60" s="104"/>
      <c r="R60" s="102"/>
      <c r="S60" s="109"/>
    </row>
    <row r="61" spans="1:19" ht="15.75" hidden="1" customHeight="1" x14ac:dyDescent="0.25">
      <c r="A61" s="57">
        <v>45566</v>
      </c>
      <c r="B61" s="111">
        <v>4155.2</v>
      </c>
      <c r="C61" s="111">
        <v>1470.7</v>
      </c>
      <c r="D61" s="59" t="s">
        <v>52</v>
      </c>
      <c r="E61" s="111" t="s">
        <v>23</v>
      </c>
      <c r="F61" s="113">
        <f>4986+8373</f>
        <v>13359</v>
      </c>
      <c r="G61" s="113">
        <f>7942+242+73</f>
        <v>8257</v>
      </c>
      <c r="H61" s="113">
        <f>820+1020+20+15+15</f>
        <v>1890</v>
      </c>
      <c r="I61" s="113">
        <f t="shared" ref="I61" si="45">F61-(G61+H61)</f>
        <v>3212</v>
      </c>
      <c r="J61" s="113">
        <f t="shared" ref="J61" si="46">I61</f>
        <v>3212</v>
      </c>
      <c r="K61" s="115" t="s">
        <v>96</v>
      </c>
      <c r="L61" s="103">
        <f t="shared" ref="L61" si="47">IF(J61&lt;0,0,I61)</f>
        <v>3212</v>
      </c>
      <c r="M61" s="105"/>
      <c r="N61" s="105"/>
      <c r="O61" s="107">
        <v>1176.5619999999999</v>
      </c>
      <c r="P61" s="99">
        <f>O61*O3</f>
        <v>6129.8880199999994</v>
      </c>
      <c r="Q61" s="119"/>
      <c r="R61" s="101">
        <f>L61-O61</f>
        <v>2035.4380000000001</v>
      </c>
      <c r="S61" s="99">
        <f>R61*O3</f>
        <v>10604.63198</v>
      </c>
    </row>
    <row r="62" spans="1:19" ht="15.75" hidden="1" customHeight="1" x14ac:dyDescent="0.25">
      <c r="A62" s="57">
        <v>45566</v>
      </c>
      <c r="B62" s="112"/>
      <c r="C62" s="112"/>
      <c r="D62" s="59" t="s">
        <v>53</v>
      </c>
      <c r="E62" s="112"/>
      <c r="F62" s="114"/>
      <c r="G62" s="114"/>
      <c r="H62" s="114"/>
      <c r="I62" s="114"/>
      <c r="J62" s="114"/>
      <c r="K62" s="116"/>
      <c r="L62" s="104"/>
      <c r="M62" s="106"/>
      <c r="N62" s="106"/>
      <c r="O62" s="108"/>
      <c r="P62" s="109"/>
      <c r="Q62" s="104"/>
      <c r="R62" s="102"/>
      <c r="S62" s="109"/>
    </row>
    <row r="63" spans="1:19" ht="15.75" hidden="1" customHeight="1" x14ac:dyDescent="0.25">
      <c r="A63" s="57">
        <v>45597</v>
      </c>
      <c r="B63" s="111">
        <v>4155.2</v>
      </c>
      <c r="C63" s="111">
        <v>1470.7</v>
      </c>
      <c r="D63" s="59" t="s">
        <v>52</v>
      </c>
      <c r="E63" s="111" t="s">
        <v>23</v>
      </c>
      <c r="F63" s="113">
        <f>4116+7304</f>
        <v>11420</v>
      </c>
      <c r="G63" s="113">
        <f>7690+47+20</f>
        <v>7757</v>
      </c>
      <c r="H63" s="113">
        <f>763+1040+20+15+15</f>
        <v>1853</v>
      </c>
      <c r="I63" s="113">
        <f t="shared" ref="I63" si="48">F63-(G63+H63)</f>
        <v>1810</v>
      </c>
      <c r="J63" s="113">
        <f t="shared" ref="J63" si="49">I63</f>
        <v>1810</v>
      </c>
      <c r="K63" s="115" t="s">
        <v>97</v>
      </c>
      <c r="L63" s="103">
        <f t="shared" ref="L63" si="50">IF(J63&lt;0,0,I63)</f>
        <v>1810</v>
      </c>
      <c r="M63" s="105"/>
      <c r="N63" s="105"/>
      <c r="O63" s="107">
        <v>1176.5619999999999</v>
      </c>
      <c r="P63" s="99">
        <f>O63*O3</f>
        <v>6129.8880199999994</v>
      </c>
      <c r="Q63" s="119"/>
      <c r="R63" s="101">
        <f>L63-O63</f>
        <v>633.4380000000001</v>
      </c>
      <c r="S63" s="99">
        <f>R63*R22</f>
        <v>0</v>
      </c>
    </row>
    <row r="64" spans="1:19" ht="15.75" hidden="1" customHeight="1" x14ac:dyDescent="0.25">
      <c r="A64" s="57">
        <v>45597</v>
      </c>
      <c r="B64" s="112"/>
      <c r="C64" s="112"/>
      <c r="D64" s="59" t="s">
        <v>53</v>
      </c>
      <c r="E64" s="112"/>
      <c r="F64" s="114"/>
      <c r="G64" s="114"/>
      <c r="H64" s="114"/>
      <c r="I64" s="114"/>
      <c r="J64" s="114"/>
      <c r="K64" s="116"/>
      <c r="L64" s="104"/>
      <c r="M64" s="106"/>
      <c r="N64" s="106"/>
      <c r="O64" s="108"/>
      <c r="P64" s="109"/>
      <c r="Q64" s="104"/>
      <c r="R64" s="102"/>
      <c r="S64" s="109"/>
    </row>
    <row r="65" spans="1:19" ht="15.75" hidden="1" customHeight="1" x14ac:dyDescent="0.25">
      <c r="A65" s="57">
        <v>45627</v>
      </c>
      <c r="B65" s="111">
        <v>4155.2</v>
      </c>
      <c r="C65" s="111">
        <v>1470.7</v>
      </c>
      <c r="D65" s="59" t="s">
        <v>52</v>
      </c>
      <c r="E65" s="111" t="s">
        <v>23</v>
      </c>
      <c r="F65" s="113">
        <f>5190+7549</f>
        <v>12739</v>
      </c>
      <c r="G65" s="113">
        <f>6972+170+47</f>
        <v>7189</v>
      </c>
      <c r="H65" s="113">
        <f>763+1133+20+15+15</f>
        <v>1946</v>
      </c>
      <c r="I65" s="113">
        <f t="shared" ref="I65" si="51">F65-(G65+H65)</f>
        <v>3604</v>
      </c>
      <c r="J65" s="113">
        <f t="shared" ref="J65" si="52">I65</f>
        <v>3604</v>
      </c>
      <c r="K65" s="115" t="s">
        <v>98</v>
      </c>
      <c r="L65" s="103">
        <f t="shared" ref="L65" si="53">IF(J65&lt;0,0,I65)</f>
        <v>3604</v>
      </c>
      <c r="M65" s="105"/>
      <c r="N65" s="105"/>
      <c r="O65" s="107">
        <v>1176.5619999999999</v>
      </c>
      <c r="P65" s="99">
        <f>O65*O3</f>
        <v>6129.8880199999994</v>
      </c>
      <c r="Q65" s="119"/>
      <c r="R65" s="101">
        <f>L65-O65</f>
        <v>2427.4380000000001</v>
      </c>
      <c r="S65" s="99">
        <f>R65*O3</f>
        <v>12646.95198</v>
      </c>
    </row>
    <row r="66" spans="1:19" ht="15.75" hidden="1" customHeight="1" x14ac:dyDescent="0.25">
      <c r="A66" s="57">
        <v>45627</v>
      </c>
      <c r="B66" s="112"/>
      <c r="C66" s="112"/>
      <c r="D66" s="59" t="s">
        <v>53</v>
      </c>
      <c r="E66" s="112"/>
      <c r="F66" s="114"/>
      <c r="G66" s="114"/>
      <c r="H66" s="114"/>
      <c r="I66" s="114"/>
      <c r="J66" s="114"/>
      <c r="K66" s="116"/>
      <c r="L66" s="104"/>
      <c r="M66" s="106"/>
      <c r="N66" s="106"/>
      <c r="O66" s="108"/>
      <c r="P66" s="109"/>
      <c r="Q66" s="104"/>
      <c r="R66" s="102"/>
      <c r="S66" s="109"/>
    </row>
    <row r="67" spans="1:19" s="20" customFormat="1" ht="31.5" hidden="1" customHeight="1" x14ac:dyDescent="0.25">
      <c r="A67" s="75"/>
      <c r="L67" s="20">
        <f>SUM(L43:L66)</f>
        <v>24414</v>
      </c>
      <c r="O67" s="20">
        <f>SUM(O43:O66)</f>
        <v>14118.743999999999</v>
      </c>
      <c r="P67" s="20">
        <f>SUM(P43:P66)</f>
        <v>70593.719999999987</v>
      </c>
      <c r="R67" s="20">
        <f>SUM(Q43:R54)</f>
        <v>4485.6280000000006</v>
      </c>
      <c r="S67" s="20">
        <f>SUM(S43:S66)</f>
        <v>73453.941980000003</v>
      </c>
    </row>
    <row r="68" spans="1:19" s="20" customFormat="1" ht="31.5" hidden="1" customHeight="1" x14ac:dyDescent="0.25">
      <c r="A68" s="75"/>
      <c r="L68" s="20">
        <f>L67*P31</f>
        <v>137590760.55971998</v>
      </c>
      <c r="O68" s="20">
        <f>L67-O67</f>
        <v>10295.256000000001</v>
      </c>
      <c r="R68" s="20">
        <f>SUM(Q55:R66)</f>
        <v>7574.6280000000006</v>
      </c>
    </row>
    <row r="69" spans="1:19" hidden="1" x14ac:dyDescent="0.25"/>
    <row r="70" spans="1:19" ht="15.75" customHeight="1" x14ac:dyDescent="0.25">
      <c r="A70" s="57">
        <v>45658</v>
      </c>
      <c r="B70" s="111">
        <v>4155.2</v>
      </c>
      <c r="C70" s="111">
        <v>1470.7</v>
      </c>
      <c r="D70" s="59" t="s">
        <v>52</v>
      </c>
      <c r="E70" s="111" t="s">
        <v>23</v>
      </c>
      <c r="F70" s="113">
        <f>4525+7149</f>
        <v>11674</v>
      </c>
      <c r="G70" s="113">
        <f>8553+218+55</f>
        <v>8826</v>
      </c>
      <c r="H70" s="113">
        <f>787+20+15+15+584</f>
        <v>1421</v>
      </c>
      <c r="I70" s="113">
        <f>F70-(G70+H70)</f>
        <v>1427</v>
      </c>
      <c r="J70" s="113">
        <f>I70</f>
        <v>1427</v>
      </c>
      <c r="K70" s="115" t="s">
        <v>103</v>
      </c>
      <c r="L70" s="103">
        <f>IF(J70&lt;0,0,I70)</f>
        <v>1427</v>
      </c>
      <c r="M70" s="105"/>
      <c r="N70" s="105"/>
      <c r="O70" s="107">
        <v>1176.5619999999999</v>
      </c>
      <c r="P70" s="99">
        <f>O70*R2</f>
        <v>6129.8880199999994</v>
      </c>
      <c r="Q70" s="119"/>
      <c r="R70" s="101">
        <f>L70-O70</f>
        <v>250.4380000000001</v>
      </c>
      <c r="S70" s="99">
        <f>R70*R2</f>
        <v>1304.7819800000004</v>
      </c>
    </row>
    <row r="71" spans="1:19" ht="15.75" customHeight="1" x14ac:dyDescent="0.25">
      <c r="A71" s="57">
        <v>45658</v>
      </c>
      <c r="B71" s="112"/>
      <c r="C71" s="112"/>
      <c r="D71" s="59" t="s">
        <v>53</v>
      </c>
      <c r="E71" s="112"/>
      <c r="F71" s="114"/>
      <c r="G71" s="114"/>
      <c r="H71" s="114"/>
      <c r="I71" s="114"/>
      <c r="J71" s="114"/>
      <c r="K71" s="116"/>
      <c r="L71" s="104"/>
      <c r="M71" s="106"/>
      <c r="N71" s="106"/>
      <c r="O71" s="108"/>
      <c r="P71" s="109"/>
      <c r="Q71" s="104"/>
      <c r="R71" s="102"/>
      <c r="S71" s="109"/>
    </row>
    <row r="72" spans="1:19" ht="15.75" customHeight="1" x14ac:dyDescent="0.25">
      <c r="A72" s="57">
        <v>45689</v>
      </c>
      <c r="B72" s="111">
        <v>4155.2</v>
      </c>
      <c r="C72" s="111">
        <v>1470.7</v>
      </c>
      <c r="D72" s="59" t="s">
        <v>52</v>
      </c>
      <c r="E72" s="111" t="s">
        <v>23</v>
      </c>
      <c r="F72" s="113">
        <f>5793+8182</f>
        <v>13975</v>
      </c>
      <c r="G72" s="113">
        <f>7848-54-32</f>
        <v>7762</v>
      </c>
      <c r="H72" s="113">
        <f>943+1057+20+15+15</f>
        <v>2050</v>
      </c>
      <c r="I72" s="113">
        <f t="shared" ref="I72" si="54">F72-(G72+H72)</f>
        <v>4163</v>
      </c>
      <c r="J72" s="113">
        <f t="shared" ref="J72" si="55">I72</f>
        <v>4163</v>
      </c>
      <c r="K72" s="115" t="s">
        <v>104</v>
      </c>
      <c r="L72" s="103">
        <f>IF(J72&lt;0,0,I72)</f>
        <v>4163</v>
      </c>
      <c r="M72" s="105"/>
      <c r="N72" s="105"/>
      <c r="O72" s="107">
        <v>1176.5619999999999</v>
      </c>
      <c r="P72" s="99">
        <f>O72*R2</f>
        <v>6129.8880199999994</v>
      </c>
      <c r="Q72" s="119"/>
      <c r="R72" s="101">
        <f>L72-O72</f>
        <v>2986.4380000000001</v>
      </c>
      <c r="S72" s="99">
        <f>R72*R2</f>
        <v>15559.341980000001</v>
      </c>
    </row>
    <row r="73" spans="1:19" ht="15.75" customHeight="1" x14ac:dyDescent="0.25">
      <c r="A73" s="57">
        <v>45689</v>
      </c>
      <c r="B73" s="112"/>
      <c r="C73" s="112"/>
      <c r="D73" s="59" t="s">
        <v>53</v>
      </c>
      <c r="E73" s="112"/>
      <c r="F73" s="114"/>
      <c r="G73" s="114"/>
      <c r="H73" s="114"/>
      <c r="I73" s="114"/>
      <c r="J73" s="114"/>
      <c r="K73" s="116"/>
      <c r="L73" s="104"/>
      <c r="M73" s="106"/>
      <c r="N73" s="106"/>
      <c r="O73" s="108"/>
      <c r="P73" s="109"/>
      <c r="Q73" s="104"/>
      <c r="R73" s="102"/>
      <c r="S73" s="109"/>
    </row>
    <row r="74" spans="1:19" ht="15.75" customHeight="1" x14ac:dyDescent="0.25">
      <c r="A74" s="57">
        <v>45717</v>
      </c>
      <c r="B74" s="111">
        <v>4155.2</v>
      </c>
      <c r="C74" s="111">
        <v>1470.7</v>
      </c>
      <c r="D74" s="59" t="s">
        <v>52</v>
      </c>
      <c r="E74" s="111" t="s">
        <v>23</v>
      </c>
      <c r="F74" s="113">
        <f>3979+6561</f>
        <v>10540</v>
      </c>
      <c r="G74" s="113">
        <f>7401+153+56</f>
        <v>7610</v>
      </c>
      <c r="H74" s="113">
        <f>634+1006+20+15+15</f>
        <v>1690</v>
      </c>
      <c r="I74" s="113">
        <f>F74-(G74+H74)</f>
        <v>1240</v>
      </c>
      <c r="J74" s="113">
        <f>I74</f>
        <v>1240</v>
      </c>
      <c r="K74" s="115" t="s">
        <v>105</v>
      </c>
      <c r="L74" s="103">
        <f>IF(J74&lt;0,0,I74)</f>
        <v>1240</v>
      </c>
      <c r="M74" s="105"/>
      <c r="N74" s="105"/>
      <c r="O74" s="107">
        <v>1176.5619999999999</v>
      </c>
      <c r="P74" s="99">
        <f>O74*R2</f>
        <v>6129.8880199999994</v>
      </c>
      <c r="Q74" s="119"/>
      <c r="R74" s="101">
        <f>L74-O74</f>
        <v>63.438000000000102</v>
      </c>
      <c r="S74" s="99">
        <f>R74*R2</f>
        <v>330.51198000000051</v>
      </c>
    </row>
    <row r="75" spans="1:19" ht="15.75" customHeight="1" x14ac:dyDescent="0.25">
      <c r="A75" s="57">
        <v>45717</v>
      </c>
      <c r="B75" s="112"/>
      <c r="C75" s="112"/>
      <c r="D75" s="59" t="s">
        <v>53</v>
      </c>
      <c r="E75" s="112"/>
      <c r="F75" s="114"/>
      <c r="G75" s="114"/>
      <c r="H75" s="114"/>
      <c r="I75" s="114"/>
      <c r="J75" s="114"/>
      <c r="K75" s="116"/>
      <c r="L75" s="104"/>
      <c r="M75" s="106"/>
      <c r="N75" s="106"/>
      <c r="O75" s="108"/>
      <c r="P75" s="109"/>
      <c r="Q75" s="104"/>
      <c r="R75" s="102"/>
      <c r="S75" s="109"/>
    </row>
    <row r="76" spans="1:19" ht="15.75" customHeight="1" x14ac:dyDescent="0.25">
      <c r="A76" s="57">
        <v>45748</v>
      </c>
      <c r="B76" s="111">
        <v>4155.2</v>
      </c>
      <c r="C76" s="111">
        <v>1470.7</v>
      </c>
      <c r="D76" s="59" t="s">
        <v>52</v>
      </c>
      <c r="E76" s="111" t="s">
        <v>23</v>
      </c>
      <c r="F76" s="113">
        <f>3989+7006</f>
        <v>10995</v>
      </c>
      <c r="G76" s="113">
        <f>8326+166+46</f>
        <v>8538</v>
      </c>
      <c r="H76" s="113">
        <f>740+1004+20+15+15</f>
        <v>1794</v>
      </c>
      <c r="I76" s="113">
        <f>F76-(G76+H76)</f>
        <v>663</v>
      </c>
      <c r="J76" s="113">
        <f>I76</f>
        <v>663</v>
      </c>
      <c r="K76" s="115" t="s">
        <v>106</v>
      </c>
      <c r="L76" s="103">
        <f>IF(J76&lt;0,0,I76)</f>
        <v>663</v>
      </c>
      <c r="M76" s="105"/>
      <c r="N76" s="105"/>
      <c r="O76" s="107">
        <v>1176.5619999999999</v>
      </c>
      <c r="P76" s="99">
        <f>O76*R2</f>
        <v>6129.8880199999994</v>
      </c>
      <c r="Q76" s="119">
        <f t="shared" ref="Q76" si="56">L76-O76</f>
        <v>-513.5619999999999</v>
      </c>
      <c r="R76" s="101"/>
      <c r="S76" s="99">
        <f>Q76*R2</f>
        <v>-2675.6580199999994</v>
      </c>
    </row>
    <row r="77" spans="1:19" ht="15.75" customHeight="1" x14ac:dyDescent="0.25">
      <c r="A77" s="57">
        <v>45748</v>
      </c>
      <c r="B77" s="112"/>
      <c r="C77" s="112"/>
      <c r="D77" s="59" t="s">
        <v>53</v>
      </c>
      <c r="E77" s="112"/>
      <c r="F77" s="114"/>
      <c r="G77" s="114"/>
      <c r="H77" s="114"/>
      <c r="I77" s="114"/>
      <c r="J77" s="114"/>
      <c r="K77" s="116"/>
      <c r="L77" s="104"/>
      <c r="M77" s="106"/>
      <c r="N77" s="106"/>
      <c r="O77" s="108"/>
      <c r="P77" s="109"/>
      <c r="Q77" s="104"/>
      <c r="R77" s="102"/>
      <c r="S77" s="109"/>
    </row>
    <row r="78" spans="1:19" ht="15.75" customHeight="1" x14ac:dyDescent="0.25">
      <c r="A78" s="57">
        <v>45778</v>
      </c>
      <c r="B78" s="111">
        <v>4155.2</v>
      </c>
      <c r="C78" s="111">
        <v>1470.7</v>
      </c>
      <c r="D78" s="59" t="s">
        <v>52</v>
      </c>
      <c r="E78" s="111" t="s">
        <v>23</v>
      </c>
      <c r="F78" s="113">
        <f>3799+6456</f>
        <v>10255</v>
      </c>
      <c r="G78" s="113">
        <f>7418+117+39</f>
        <v>7574</v>
      </c>
      <c r="H78" s="113">
        <f>673+888+20+15+15</f>
        <v>1611</v>
      </c>
      <c r="I78" s="113">
        <f>F78-(G78+H78)</f>
        <v>1070</v>
      </c>
      <c r="J78" s="113">
        <f>I78</f>
        <v>1070</v>
      </c>
      <c r="K78" s="115" t="s">
        <v>107</v>
      </c>
      <c r="L78" s="103">
        <f>IF(J78&lt;0,0,I78)</f>
        <v>1070</v>
      </c>
      <c r="M78" s="105"/>
      <c r="N78" s="105"/>
      <c r="O78" s="107">
        <v>1176.5619999999999</v>
      </c>
      <c r="P78" s="99">
        <f>O78*R2</f>
        <v>6129.8880199999994</v>
      </c>
      <c r="Q78" s="119">
        <f t="shared" ref="Q78" si="57">L78-O78</f>
        <v>-106.5619999999999</v>
      </c>
      <c r="R78" s="101"/>
      <c r="S78" s="99">
        <f>Q78*R2</f>
        <v>-555.18801999999948</v>
      </c>
    </row>
    <row r="79" spans="1:19" ht="15.75" customHeight="1" x14ac:dyDescent="0.25">
      <c r="A79" s="57">
        <v>45778</v>
      </c>
      <c r="B79" s="112"/>
      <c r="C79" s="112"/>
      <c r="D79" s="59" t="s">
        <v>53</v>
      </c>
      <c r="E79" s="112"/>
      <c r="F79" s="114"/>
      <c r="G79" s="114"/>
      <c r="H79" s="114"/>
      <c r="I79" s="114"/>
      <c r="J79" s="114"/>
      <c r="K79" s="116"/>
      <c r="L79" s="104"/>
      <c r="M79" s="106"/>
      <c r="N79" s="106"/>
      <c r="O79" s="108"/>
      <c r="P79" s="109"/>
      <c r="Q79" s="104"/>
      <c r="R79" s="102"/>
      <c r="S79" s="109"/>
    </row>
    <row r="80" spans="1:19" ht="15.75" customHeight="1" x14ac:dyDescent="0.25">
      <c r="A80" s="57">
        <v>45809</v>
      </c>
      <c r="B80" s="111">
        <v>4155.2</v>
      </c>
      <c r="C80" s="111">
        <v>1470.7</v>
      </c>
      <c r="D80" s="59" t="s">
        <v>52</v>
      </c>
      <c r="E80" s="111" t="s">
        <v>23</v>
      </c>
      <c r="F80" s="113">
        <f>4236+6843</f>
        <v>11079</v>
      </c>
      <c r="G80" s="113">
        <f>7413-136</f>
        <v>7277</v>
      </c>
      <c r="H80" s="113">
        <f>700+1290+20+15+15</f>
        <v>2040</v>
      </c>
      <c r="I80" s="113">
        <f>F80-(G80+H80)</f>
        <v>1762</v>
      </c>
      <c r="J80" s="113">
        <f>I80</f>
        <v>1762</v>
      </c>
      <c r="K80" s="115" t="s">
        <v>108</v>
      </c>
      <c r="L80" s="103">
        <f>IF(J80&lt;0,0,I80)</f>
        <v>1762</v>
      </c>
      <c r="M80" s="105"/>
      <c r="N80" s="105"/>
      <c r="O80" s="107">
        <v>1176.5619999999999</v>
      </c>
      <c r="P80" s="99">
        <f>O80*R2</f>
        <v>6129.8880199999994</v>
      </c>
      <c r="Q80" s="119"/>
      <c r="R80" s="119">
        <f>L80-O80</f>
        <v>585.4380000000001</v>
      </c>
      <c r="S80" s="99">
        <f>R80*R2</f>
        <v>3050.1319800000006</v>
      </c>
    </row>
    <row r="81" spans="1:19" ht="15.75" customHeight="1" x14ac:dyDescent="0.25">
      <c r="A81" s="57">
        <v>45809</v>
      </c>
      <c r="B81" s="112"/>
      <c r="C81" s="112"/>
      <c r="D81" s="59" t="s">
        <v>53</v>
      </c>
      <c r="E81" s="112"/>
      <c r="F81" s="114"/>
      <c r="G81" s="114"/>
      <c r="H81" s="114"/>
      <c r="I81" s="114"/>
      <c r="J81" s="114"/>
      <c r="K81" s="116"/>
      <c r="L81" s="104"/>
      <c r="M81" s="106"/>
      <c r="N81" s="106"/>
      <c r="O81" s="108"/>
      <c r="P81" s="109"/>
      <c r="Q81" s="104"/>
      <c r="R81" s="104"/>
      <c r="S81" s="109"/>
    </row>
    <row r="82" spans="1:19" ht="15.75" customHeight="1" x14ac:dyDescent="0.25">
      <c r="A82" s="57">
        <v>45839</v>
      </c>
      <c r="B82" s="111">
        <v>4155.2</v>
      </c>
      <c r="C82" s="111">
        <v>1470.7</v>
      </c>
      <c r="D82" s="59" t="s">
        <v>52</v>
      </c>
      <c r="E82" s="111" t="s">
        <v>23</v>
      </c>
      <c r="F82" s="113">
        <f>3797+6239</f>
        <v>10036</v>
      </c>
      <c r="G82" s="113">
        <f>5444+2886+1563</f>
        <v>9893</v>
      </c>
      <c r="H82" s="113">
        <f>665+1268+20+15+15</f>
        <v>1983</v>
      </c>
      <c r="I82" s="113">
        <f>F82-(G82+H82)</f>
        <v>-1840</v>
      </c>
      <c r="J82" s="113">
        <f t="shared" ref="J82" si="58">I82</f>
        <v>-1840</v>
      </c>
      <c r="K82" s="115" t="s">
        <v>109</v>
      </c>
      <c r="L82" s="103">
        <f t="shared" ref="L82" si="59">IF(J82&lt;0,0,I82)</f>
        <v>0</v>
      </c>
      <c r="M82" s="105"/>
      <c r="N82" s="105"/>
      <c r="O82" s="107">
        <v>1176.5619999999999</v>
      </c>
      <c r="P82" s="99">
        <f>O82*R3</f>
        <v>6894.6533199999994</v>
      </c>
      <c r="Q82" s="101">
        <f>L82-O82</f>
        <v>-1176.5619999999999</v>
      </c>
      <c r="R82" s="101"/>
      <c r="S82" s="99">
        <f>Q82*R3</f>
        <v>-6894.6533199999994</v>
      </c>
    </row>
    <row r="83" spans="1:19" ht="15.75" customHeight="1" x14ac:dyDescent="0.25">
      <c r="A83" s="57">
        <v>45839</v>
      </c>
      <c r="B83" s="112"/>
      <c r="C83" s="112"/>
      <c r="D83" s="59" t="s">
        <v>53</v>
      </c>
      <c r="E83" s="112"/>
      <c r="F83" s="114"/>
      <c r="G83" s="114"/>
      <c r="H83" s="114"/>
      <c r="I83" s="114"/>
      <c r="J83" s="114"/>
      <c r="K83" s="116"/>
      <c r="L83" s="104"/>
      <c r="M83" s="106"/>
      <c r="N83" s="106"/>
      <c r="O83" s="108"/>
      <c r="P83" s="109"/>
      <c r="Q83" s="102"/>
      <c r="R83" s="102"/>
      <c r="S83" s="109"/>
    </row>
    <row r="84" spans="1:19" ht="15.75" customHeight="1" x14ac:dyDescent="0.25">
      <c r="A84" s="57">
        <v>45870</v>
      </c>
      <c r="B84" s="111">
        <v>4155.2</v>
      </c>
      <c r="C84" s="111">
        <v>1470.7</v>
      </c>
      <c r="D84" s="59" t="s">
        <v>52</v>
      </c>
      <c r="E84" s="111" t="s">
        <v>23</v>
      </c>
      <c r="F84" s="113">
        <f>4230+6743</f>
        <v>10973</v>
      </c>
      <c r="G84" s="113">
        <f>7556+379+168</f>
        <v>8103</v>
      </c>
      <c r="H84" s="113">
        <f>730+1175+20+15+15</f>
        <v>1955</v>
      </c>
      <c r="I84" s="113">
        <f>F84-(G84+H84)</f>
        <v>915</v>
      </c>
      <c r="J84" s="113">
        <f>I84+J82</f>
        <v>-925</v>
      </c>
      <c r="K84" s="115" t="s">
        <v>113</v>
      </c>
      <c r="L84" s="103">
        <f t="shared" ref="L84" si="60">IF(J84&lt;0,0,I84)</f>
        <v>0</v>
      </c>
      <c r="M84" s="105"/>
      <c r="N84" s="105"/>
      <c r="O84" s="107">
        <v>1176.5619999999999</v>
      </c>
      <c r="P84" s="99">
        <f>O84*R3</f>
        <v>6894.6533199999994</v>
      </c>
      <c r="Q84" s="101">
        <f>L84-O84</f>
        <v>-1176.5619999999999</v>
      </c>
      <c r="R84" s="101"/>
      <c r="S84" s="99">
        <f>Q84*R3</f>
        <v>-6894.6533199999994</v>
      </c>
    </row>
    <row r="85" spans="1:19" ht="15.75" customHeight="1" x14ac:dyDescent="0.25">
      <c r="A85" s="57">
        <v>45870</v>
      </c>
      <c r="B85" s="112"/>
      <c r="C85" s="112"/>
      <c r="D85" s="59" t="s">
        <v>53</v>
      </c>
      <c r="E85" s="112"/>
      <c r="F85" s="114"/>
      <c r="G85" s="114"/>
      <c r="H85" s="114"/>
      <c r="I85" s="114"/>
      <c r="J85" s="114"/>
      <c r="K85" s="116"/>
      <c r="L85" s="104"/>
      <c r="M85" s="106"/>
      <c r="N85" s="106"/>
      <c r="O85" s="108"/>
      <c r="P85" s="109"/>
      <c r="Q85" s="102"/>
      <c r="R85" s="102"/>
      <c r="S85" s="109"/>
    </row>
    <row r="86" spans="1:19" ht="15.75" customHeight="1" x14ac:dyDescent="0.25">
      <c r="A86" s="57">
        <v>45901</v>
      </c>
      <c r="B86" s="111">
        <v>4155.2</v>
      </c>
      <c r="C86" s="111">
        <v>1470.7</v>
      </c>
      <c r="D86" s="59" t="s">
        <v>52</v>
      </c>
      <c r="E86" s="111" t="s">
        <v>23</v>
      </c>
      <c r="F86" s="113">
        <f>4025+6970</f>
        <v>10995</v>
      </c>
      <c r="G86" s="113">
        <f>8163+351+191</f>
        <v>8705</v>
      </c>
      <c r="H86" s="113">
        <f>685+986+20+15+15</f>
        <v>1721</v>
      </c>
      <c r="I86" s="113">
        <f t="shared" ref="I86" si="61">F86-(G86+H86)</f>
        <v>569</v>
      </c>
      <c r="J86" s="113">
        <f>I86+J84</f>
        <v>-356</v>
      </c>
      <c r="K86" s="115" t="s">
        <v>110</v>
      </c>
      <c r="L86" s="103">
        <f>IF(J86&lt;0,0,I86)</f>
        <v>0</v>
      </c>
      <c r="M86" s="105"/>
      <c r="N86" s="105"/>
      <c r="O86" s="107">
        <v>1176.5619999999999</v>
      </c>
      <c r="P86" s="99">
        <f>O86*R3</f>
        <v>6894.6533199999994</v>
      </c>
      <c r="Q86" s="119">
        <f t="shared" ref="Q86" si="62">L86-O86</f>
        <v>-1176.5619999999999</v>
      </c>
      <c r="R86" s="101"/>
      <c r="S86" s="99">
        <f>Q86*R3</f>
        <v>-6894.6533199999994</v>
      </c>
    </row>
    <row r="87" spans="1:19" ht="15.75" customHeight="1" x14ac:dyDescent="0.25">
      <c r="A87" s="57">
        <v>45901</v>
      </c>
      <c r="B87" s="112"/>
      <c r="C87" s="112"/>
      <c r="D87" s="59" t="s">
        <v>53</v>
      </c>
      <c r="E87" s="112"/>
      <c r="F87" s="114"/>
      <c r="G87" s="114"/>
      <c r="H87" s="114"/>
      <c r="I87" s="114"/>
      <c r="J87" s="114"/>
      <c r="K87" s="116"/>
      <c r="L87" s="104"/>
      <c r="M87" s="106"/>
      <c r="N87" s="106"/>
      <c r="O87" s="108"/>
      <c r="P87" s="109"/>
      <c r="Q87" s="104"/>
      <c r="R87" s="102"/>
      <c r="S87" s="109"/>
    </row>
    <row r="88" spans="1:19" ht="15.75" customHeight="1" x14ac:dyDescent="0.25">
      <c r="A88" s="57">
        <v>45931</v>
      </c>
      <c r="B88" s="111">
        <v>4155.2</v>
      </c>
      <c r="C88" s="111">
        <v>1470.7</v>
      </c>
      <c r="D88" s="59" t="s">
        <v>52</v>
      </c>
      <c r="E88" s="111" t="s">
        <v>23</v>
      </c>
      <c r="F88" s="113">
        <f>4401+7453</f>
        <v>11854</v>
      </c>
      <c r="G88" s="113">
        <f>6199+208+137</f>
        <v>6544</v>
      </c>
      <c r="H88" s="113">
        <f>898+911+20+15+15</f>
        <v>1859</v>
      </c>
      <c r="I88" s="113">
        <f t="shared" ref="I88" si="63">F88-(G88+H88)</f>
        <v>3451</v>
      </c>
      <c r="J88" s="113">
        <f>I88+J86</f>
        <v>3095</v>
      </c>
      <c r="K88" s="115" t="s">
        <v>111</v>
      </c>
      <c r="L88" s="103">
        <f>J88</f>
        <v>3095</v>
      </c>
      <c r="M88" s="105"/>
      <c r="N88" s="105"/>
      <c r="O88" s="107">
        <v>1176.5619999999999</v>
      </c>
      <c r="P88" s="99">
        <f>O88*R3</f>
        <v>6894.6533199999994</v>
      </c>
      <c r="Q88" s="119"/>
      <c r="R88" s="101">
        <f>L88-O88</f>
        <v>1918.4380000000001</v>
      </c>
      <c r="S88" s="99">
        <f>R88*R3</f>
        <v>11242.046680000001</v>
      </c>
    </row>
    <row r="89" spans="1:19" ht="15.75" customHeight="1" x14ac:dyDescent="0.25">
      <c r="A89" s="57">
        <v>45931</v>
      </c>
      <c r="B89" s="112"/>
      <c r="C89" s="112"/>
      <c r="D89" s="59" t="s">
        <v>53</v>
      </c>
      <c r="E89" s="112"/>
      <c r="F89" s="114"/>
      <c r="G89" s="114"/>
      <c r="H89" s="114"/>
      <c r="I89" s="114"/>
      <c r="J89" s="114"/>
      <c r="K89" s="116"/>
      <c r="L89" s="104"/>
      <c r="M89" s="106"/>
      <c r="N89" s="106"/>
      <c r="O89" s="108"/>
      <c r="P89" s="109"/>
      <c r="Q89" s="104"/>
      <c r="R89" s="102"/>
      <c r="S89" s="109"/>
    </row>
    <row r="90" spans="1:19" ht="15.75" customHeight="1" x14ac:dyDescent="0.25">
      <c r="A90" s="57">
        <v>45962</v>
      </c>
      <c r="B90" s="111">
        <v>4155.2</v>
      </c>
      <c r="C90" s="111">
        <v>1470.7</v>
      </c>
      <c r="D90" s="59" t="s">
        <v>52</v>
      </c>
      <c r="E90" s="111" t="s">
        <v>23</v>
      </c>
      <c r="F90" s="113">
        <f>4579+7857</f>
        <v>12436</v>
      </c>
      <c r="G90" s="113">
        <f>8705+719+114</f>
        <v>9538</v>
      </c>
      <c r="H90" s="113">
        <f>763+923+20+15+15</f>
        <v>1736</v>
      </c>
      <c r="I90" s="113">
        <f t="shared" ref="I90" si="64">F90-(G90+H90)</f>
        <v>1162</v>
      </c>
      <c r="J90" s="113">
        <f t="shared" ref="J90" si="65">I90</f>
        <v>1162</v>
      </c>
      <c r="K90" s="115" t="s">
        <v>114</v>
      </c>
      <c r="L90" s="103">
        <f t="shared" ref="L90" si="66">IF(J90&lt;0,0,I90)</f>
        <v>1162</v>
      </c>
      <c r="M90" s="105"/>
      <c r="N90" s="105"/>
      <c r="O90" s="107">
        <v>1176.5619999999999</v>
      </c>
      <c r="P90" s="99">
        <f>O90*R3</f>
        <v>6894.6533199999994</v>
      </c>
      <c r="Q90" s="119">
        <f t="shared" ref="Q90" si="67">L90-O90</f>
        <v>-14.561999999999898</v>
      </c>
      <c r="R90" s="101"/>
      <c r="S90" s="99">
        <f>Q90*R3</f>
        <v>-85.333319999999404</v>
      </c>
    </row>
    <row r="91" spans="1:19" ht="15.75" customHeight="1" x14ac:dyDescent="0.25">
      <c r="A91" s="57">
        <v>45962</v>
      </c>
      <c r="B91" s="112"/>
      <c r="C91" s="112"/>
      <c r="D91" s="59" t="s">
        <v>53</v>
      </c>
      <c r="E91" s="112"/>
      <c r="F91" s="114"/>
      <c r="G91" s="114"/>
      <c r="H91" s="114"/>
      <c r="I91" s="114"/>
      <c r="J91" s="114"/>
      <c r="K91" s="116"/>
      <c r="L91" s="104"/>
      <c r="M91" s="106"/>
      <c r="N91" s="106"/>
      <c r="O91" s="108"/>
      <c r="P91" s="109"/>
      <c r="Q91" s="104"/>
      <c r="R91" s="102"/>
      <c r="S91" s="109"/>
    </row>
    <row r="92" spans="1:19" ht="15.75" customHeight="1" x14ac:dyDescent="0.25">
      <c r="A92" s="57">
        <v>45992</v>
      </c>
      <c r="B92" s="111">
        <v>4155.2</v>
      </c>
      <c r="C92" s="111">
        <v>1470.7</v>
      </c>
      <c r="D92" s="59" t="s">
        <v>52</v>
      </c>
      <c r="E92" s="111" t="s">
        <v>23</v>
      </c>
      <c r="F92" s="113">
        <f>4119+6992</f>
        <v>11111</v>
      </c>
      <c r="G92" s="113">
        <f>7267+365+189</f>
        <v>7821</v>
      </c>
      <c r="H92" s="113">
        <f>834+1004+20+15+15</f>
        <v>1888</v>
      </c>
      <c r="I92" s="113">
        <f t="shared" ref="I92" si="68">F92-(G92+H92)</f>
        <v>1402</v>
      </c>
      <c r="J92" s="113">
        <f t="shared" ref="J92" si="69">I92</f>
        <v>1402</v>
      </c>
      <c r="K92" s="115" t="s">
        <v>112</v>
      </c>
      <c r="L92" s="103">
        <f t="shared" ref="L92" si="70">IF(J92&lt;0,0,I92)</f>
        <v>1402</v>
      </c>
      <c r="M92" s="105"/>
      <c r="N92" s="105"/>
      <c r="O92" s="107">
        <v>1176.5619999999999</v>
      </c>
      <c r="P92" s="99">
        <f>O92*R3</f>
        <v>6894.6533199999994</v>
      </c>
      <c r="Q92" s="119"/>
      <c r="R92" s="101">
        <f>L92-O92</f>
        <v>225.4380000000001</v>
      </c>
      <c r="S92" s="99">
        <f>R92*R3</f>
        <v>1321.0666800000006</v>
      </c>
    </row>
    <row r="93" spans="1:19" ht="15.75" customHeight="1" x14ac:dyDescent="0.25">
      <c r="A93" s="57">
        <v>45992</v>
      </c>
      <c r="B93" s="112"/>
      <c r="C93" s="112"/>
      <c r="D93" s="59" t="s">
        <v>53</v>
      </c>
      <c r="E93" s="112"/>
      <c r="F93" s="114"/>
      <c r="G93" s="114"/>
      <c r="H93" s="114"/>
      <c r="I93" s="114"/>
      <c r="J93" s="114"/>
      <c r="K93" s="116"/>
      <c r="L93" s="104"/>
      <c r="M93" s="106"/>
      <c r="N93" s="106"/>
      <c r="O93" s="108"/>
      <c r="P93" s="109"/>
      <c r="Q93" s="152"/>
      <c r="R93" s="110"/>
      <c r="S93" s="100"/>
    </row>
    <row r="94" spans="1:19" s="20" customFormat="1" ht="31.5" customHeight="1" x14ac:dyDescent="0.25">
      <c r="A94" s="75"/>
      <c r="L94" s="20">
        <f>SUM(L70:L93)</f>
        <v>15984</v>
      </c>
      <c r="O94" s="20">
        <f>SUM(O70:O93)</f>
        <v>14118.743999999999</v>
      </c>
      <c r="P94" s="20">
        <f>SUM(P70:P93)</f>
        <v>78147.248039999991</v>
      </c>
      <c r="Q94" s="95" t="s">
        <v>116</v>
      </c>
      <c r="R94" s="95">
        <f>SUM(Q70:R81)</f>
        <v>3265.6280000000006</v>
      </c>
      <c r="S94" s="96">
        <f>SUM(S70:S81)</f>
        <v>17013.921880000002</v>
      </c>
    </row>
    <row r="95" spans="1:19" s="20" customFormat="1" ht="31.5" customHeight="1" x14ac:dyDescent="0.25">
      <c r="A95" s="75"/>
      <c r="Q95" s="97" t="s">
        <v>117</v>
      </c>
      <c r="R95" s="95">
        <f>SUM(Q82:R93)</f>
        <v>-1400.3719999999994</v>
      </c>
      <c r="S95" s="96">
        <f>SUM(S82:S93)</f>
        <v>-8206.1799199999987</v>
      </c>
    </row>
    <row r="96" spans="1:19" x14ac:dyDescent="0.25">
      <c r="Q96" s="97"/>
      <c r="R96" s="97"/>
      <c r="S96" s="97"/>
    </row>
    <row r="97" spans="17:19" x14ac:dyDescent="0.25">
      <c r="Q97" s="97"/>
      <c r="R97" s="95">
        <f>R94+R95</f>
        <v>1865.2560000000012</v>
      </c>
      <c r="S97" s="96">
        <f>S94+S95</f>
        <v>8807.741960000003</v>
      </c>
    </row>
  </sheetData>
  <sheetProtection algorithmName="SHA-512" hashValue="Ysflo17rGuiNQAjVWA9S41p1HJ4Ke2Xtl07pDpabeAmvVDpVNDWt93ihjy74Y7QrUQsBEyDO/zTx6No5nW2vCg==" saltValue="pNUPMCRdKaCzvP+gOwUumQ==" spinCount="100000" sheet="1" objects="1" scenarios="1" selectLockedCells="1" selectUnlockedCells="1"/>
  <mergeCells count="703">
    <mergeCell ref="R13:R14"/>
    <mergeCell ref="Q13:Q14"/>
    <mergeCell ref="M13:M14"/>
    <mergeCell ref="N13:N14"/>
    <mergeCell ref="O13:O14"/>
    <mergeCell ref="P13:P14"/>
    <mergeCell ref="S4:S5"/>
    <mergeCell ref="S7:S8"/>
    <mergeCell ref="S9:S10"/>
    <mergeCell ref="S11:S12"/>
    <mergeCell ref="S13:S14"/>
    <mergeCell ref="Q9:Q10"/>
    <mergeCell ref="R9:R10"/>
    <mergeCell ref="Q7:Q8"/>
    <mergeCell ref="R7:R8"/>
    <mergeCell ref="Q4:R4"/>
    <mergeCell ref="N4:N5"/>
    <mergeCell ref="B11:B12"/>
    <mergeCell ref="C11:C12"/>
    <mergeCell ref="E11:E12"/>
    <mergeCell ref="F11:F12"/>
    <mergeCell ref="G11:G12"/>
    <mergeCell ref="H11:H12"/>
    <mergeCell ref="I11:I12"/>
    <mergeCell ref="I9:I10"/>
    <mergeCell ref="K9:K10"/>
    <mergeCell ref="L9:L10"/>
    <mergeCell ref="M9:M10"/>
    <mergeCell ref="N9:N10"/>
    <mergeCell ref="O9:O10"/>
    <mergeCell ref="Q11:Q12"/>
    <mergeCell ref="R11:R12"/>
    <mergeCell ref="K11:K12"/>
    <mergeCell ref="L11:L12"/>
    <mergeCell ref="M11:M12"/>
    <mergeCell ref="N11:N12"/>
    <mergeCell ref="O11:O12"/>
    <mergeCell ref="P11:P12"/>
    <mergeCell ref="P9:P10"/>
    <mergeCell ref="J7:J8"/>
    <mergeCell ref="J9:J10"/>
    <mergeCell ref="O4:O5"/>
    <mergeCell ref="P4:P5"/>
    <mergeCell ref="L7:L8"/>
    <mergeCell ref="B9:B10"/>
    <mergeCell ref="C9:C10"/>
    <mergeCell ref="E9:E10"/>
    <mergeCell ref="F9:F10"/>
    <mergeCell ref="G9:G10"/>
    <mergeCell ref="H9:H10"/>
    <mergeCell ref="M7:M8"/>
    <mergeCell ref="N7:N8"/>
    <mergeCell ref="O7:O8"/>
    <mergeCell ref="B7:B8"/>
    <mergeCell ref="C7:C8"/>
    <mergeCell ref="E7:E8"/>
    <mergeCell ref="F7:F8"/>
    <mergeCell ref="G7:G8"/>
    <mergeCell ref="H7:H8"/>
    <mergeCell ref="I7:I8"/>
    <mergeCell ref="K7:K8"/>
    <mergeCell ref="M4:M5"/>
    <mergeCell ref="P7:P8"/>
    <mergeCell ref="A2:D2"/>
    <mergeCell ref="A4:A5"/>
    <mergeCell ref="B4:B5"/>
    <mergeCell ref="C4:C5"/>
    <mergeCell ref="D4:D5"/>
    <mergeCell ref="A1:S1"/>
    <mergeCell ref="G2:K2"/>
    <mergeCell ref="G3:K3"/>
    <mergeCell ref="J4:J5"/>
    <mergeCell ref="P2:P3"/>
    <mergeCell ref="S2:S3"/>
    <mergeCell ref="K15:K16"/>
    <mergeCell ref="L15:L16"/>
    <mergeCell ref="B15:B16"/>
    <mergeCell ref="C15:C16"/>
    <mergeCell ref="E15:E16"/>
    <mergeCell ref="F15:F16"/>
    <mergeCell ref="G15:G16"/>
    <mergeCell ref="E4:E5"/>
    <mergeCell ref="F4:F5"/>
    <mergeCell ref="G4:G5"/>
    <mergeCell ref="H4:H5"/>
    <mergeCell ref="J11:J12"/>
    <mergeCell ref="B13:B14"/>
    <mergeCell ref="C13:C14"/>
    <mergeCell ref="E13:E14"/>
    <mergeCell ref="F13:F14"/>
    <mergeCell ref="G13:G14"/>
    <mergeCell ref="H13:H14"/>
    <mergeCell ref="I13:I14"/>
    <mergeCell ref="K13:K14"/>
    <mergeCell ref="L13:L14"/>
    <mergeCell ref="J13:J14"/>
    <mergeCell ref="I4:I5"/>
    <mergeCell ref="K4:L4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L21:L22"/>
    <mergeCell ref="M21:M22"/>
    <mergeCell ref="N21:N22"/>
    <mergeCell ref="H23:H24"/>
    <mergeCell ref="I23:I24"/>
    <mergeCell ref="J23:J24"/>
    <mergeCell ref="K23:K24"/>
    <mergeCell ref="L23:L24"/>
    <mergeCell ref="B23:B24"/>
    <mergeCell ref="C23:C24"/>
    <mergeCell ref="E23:E24"/>
    <mergeCell ref="F23:F24"/>
    <mergeCell ref="G23:G24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5:L26"/>
    <mergeCell ref="M25:M26"/>
    <mergeCell ref="N25:N26"/>
    <mergeCell ref="O25:O26"/>
    <mergeCell ref="P25:P26"/>
    <mergeCell ref="M23:M24"/>
    <mergeCell ref="N23:N24"/>
    <mergeCell ref="O23:O24"/>
    <mergeCell ref="P23:P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7:L28"/>
    <mergeCell ref="M27:M28"/>
    <mergeCell ref="N27:N28"/>
    <mergeCell ref="O27:O28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9:L30"/>
    <mergeCell ref="M29:M30"/>
    <mergeCell ref="B31:B32"/>
    <mergeCell ref="C31:C32"/>
    <mergeCell ref="E31:E32"/>
    <mergeCell ref="F31:F32"/>
    <mergeCell ref="G31:G32"/>
    <mergeCell ref="H31:H32"/>
    <mergeCell ref="I31:I32"/>
    <mergeCell ref="J31:J32"/>
    <mergeCell ref="K31:K32"/>
    <mergeCell ref="Q33:Q34"/>
    <mergeCell ref="R33:R34"/>
    <mergeCell ref="O37:O38"/>
    <mergeCell ref="P37:P38"/>
    <mergeCell ref="Q37:Q38"/>
    <mergeCell ref="R37:R38"/>
    <mergeCell ref="R29:R30"/>
    <mergeCell ref="M33:M34"/>
    <mergeCell ref="N33:N34"/>
    <mergeCell ref="O33:O34"/>
    <mergeCell ref="P33:P34"/>
    <mergeCell ref="N31:N32"/>
    <mergeCell ref="O31:O32"/>
    <mergeCell ref="M35:M36"/>
    <mergeCell ref="N35:N36"/>
    <mergeCell ref="O35:O36"/>
    <mergeCell ref="P35:P36"/>
    <mergeCell ref="Q35:Q36"/>
    <mergeCell ref="R35:R36"/>
    <mergeCell ref="F33:F34"/>
    <mergeCell ref="G33:G34"/>
    <mergeCell ref="H33:H34"/>
    <mergeCell ref="I33:I34"/>
    <mergeCell ref="J33:J34"/>
    <mergeCell ref="K33:K34"/>
    <mergeCell ref="N29:N30"/>
    <mergeCell ref="M31:M32"/>
    <mergeCell ref="L37:L38"/>
    <mergeCell ref="M37:M38"/>
    <mergeCell ref="N37:N38"/>
    <mergeCell ref="L31:L32"/>
    <mergeCell ref="L33:L34"/>
    <mergeCell ref="L35:L36"/>
    <mergeCell ref="S33:S34"/>
    <mergeCell ref="R23:R24"/>
    <mergeCell ref="S23:S24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B33:B34"/>
    <mergeCell ref="C33:C34"/>
    <mergeCell ref="E33:E34"/>
    <mergeCell ref="Q23:Q24"/>
    <mergeCell ref="O21:O22"/>
    <mergeCell ref="P21:P22"/>
    <mergeCell ref="Q21:Q22"/>
    <mergeCell ref="R31:R32"/>
    <mergeCell ref="S31:S32"/>
    <mergeCell ref="S29:S30"/>
    <mergeCell ref="P27:P28"/>
    <mergeCell ref="Q27:Q28"/>
    <mergeCell ref="R27:R28"/>
    <mergeCell ref="S27:S28"/>
    <mergeCell ref="Q25:Q26"/>
    <mergeCell ref="R25:R26"/>
    <mergeCell ref="S25:S26"/>
    <mergeCell ref="P31:P32"/>
    <mergeCell ref="Q31:Q32"/>
    <mergeCell ref="O29:O30"/>
    <mergeCell ref="P29:P30"/>
    <mergeCell ref="Q29:Q30"/>
    <mergeCell ref="R21:R22"/>
    <mergeCell ref="S21:S22"/>
    <mergeCell ref="R43:R44"/>
    <mergeCell ref="S43:S44"/>
    <mergeCell ref="S37:S38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S35:S36"/>
    <mergeCell ref="B45:B46"/>
    <mergeCell ref="C45:C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L43:L44"/>
    <mergeCell ref="M43:M44"/>
    <mergeCell ref="N43:N44"/>
    <mergeCell ref="O43:O44"/>
    <mergeCell ref="P43:P44"/>
    <mergeCell ref="Q43:Q44"/>
    <mergeCell ref="B47:B48"/>
    <mergeCell ref="C47:C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B53:B54"/>
    <mergeCell ref="C53:C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B55:B56"/>
    <mergeCell ref="C55:C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B57:B58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B59:B60"/>
    <mergeCell ref="C59:C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S59:S60"/>
    <mergeCell ref="B61:B62"/>
    <mergeCell ref="C61:C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B63:B64"/>
    <mergeCell ref="C63:C64"/>
    <mergeCell ref="E63:E64"/>
    <mergeCell ref="F63:F64"/>
    <mergeCell ref="G63:G64"/>
    <mergeCell ref="H63:H64"/>
    <mergeCell ref="I63:I64"/>
    <mergeCell ref="J63:J64"/>
    <mergeCell ref="K63:K64"/>
    <mergeCell ref="S70:S71"/>
    <mergeCell ref="B65:B66"/>
    <mergeCell ref="C65:C66"/>
    <mergeCell ref="E65:E66"/>
    <mergeCell ref="F65:F66"/>
    <mergeCell ref="G65:G66"/>
    <mergeCell ref="H65:H66"/>
    <mergeCell ref="I65:I66"/>
    <mergeCell ref="J65:J66"/>
    <mergeCell ref="K65:K66"/>
    <mergeCell ref="S65:S66"/>
    <mergeCell ref="L63:L64"/>
    <mergeCell ref="M63:M64"/>
    <mergeCell ref="N63:N64"/>
    <mergeCell ref="O63:O64"/>
    <mergeCell ref="P63:P64"/>
    <mergeCell ref="Q63:Q64"/>
    <mergeCell ref="R63:R64"/>
    <mergeCell ref="S63:S64"/>
    <mergeCell ref="L65:L66"/>
    <mergeCell ref="M65:M66"/>
    <mergeCell ref="N65:N66"/>
    <mergeCell ref="O65:O66"/>
    <mergeCell ref="P65:P66"/>
    <mergeCell ref="Q65:Q66"/>
    <mergeCell ref="R65:R66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L72:L73"/>
    <mergeCell ref="M72:M73"/>
    <mergeCell ref="N72:N73"/>
    <mergeCell ref="O72:O73"/>
    <mergeCell ref="P72:P73"/>
    <mergeCell ref="Q72:Q73"/>
    <mergeCell ref="R72:R73"/>
    <mergeCell ref="S72:S73"/>
    <mergeCell ref="B70:B71"/>
    <mergeCell ref="C70:C71"/>
    <mergeCell ref="E70:E71"/>
    <mergeCell ref="F70:F71"/>
    <mergeCell ref="G70:G71"/>
    <mergeCell ref="H70:H71"/>
    <mergeCell ref="B72:B73"/>
    <mergeCell ref="C72:C73"/>
    <mergeCell ref="E72:E73"/>
    <mergeCell ref="F72:F73"/>
    <mergeCell ref="G72:G73"/>
    <mergeCell ref="H72:H73"/>
    <mergeCell ref="I72:I73"/>
    <mergeCell ref="J72:J73"/>
    <mergeCell ref="K72:K73"/>
    <mergeCell ref="I70:I71"/>
    <mergeCell ref="B74:B75"/>
    <mergeCell ref="C74:C75"/>
    <mergeCell ref="E74:E75"/>
    <mergeCell ref="F74:F75"/>
    <mergeCell ref="G74:G75"/>
    <mergeCell ref="H74:H75"/>
    <mergeCell ref="I74:I75"/>
    <mergeCell ref="J74:J75"/>
    <mergeCell ref="K74:K75"/>
    <mergeCell ref="B76:B77"/>
    <mergeCell ref="C76:C77"/>
    <mergeCell ref="E76:E77"/>
    <mergeCell ref="F76:F77"/>
    <mergeCell ref="G76:G77"/>
    <mergeCell ref="H76:H77"/>
    <mergeCell ref="I76:I77"/>
    <mergeCell ref="J76:J77"/>
    <mergeCell ref="K76:K77"/>
    <mergeCell ref="S78:S79"/>
    <mergeCell ref="L74:L75"/>
    <mergeCell ref="M74:M75"/>
    <mergeCell ref="N74:N75"/>
    <mergeCell ref="O74:O75"/>
    <mergeCell ref="P74:P75"/>
    <mergeCell ref="Q74:Q75"/>
    <mergeCell ref="R74:R75"/>
    <mergeCell ref="S74:S75"/>
    <mergeCell ref="L76:L77"/>
    <mergeCell ref="M76:M77"/>
    <mergeCell ref="N76:N77"/>
    <mergeCell ref="O76:O77"/>
    <mergeCell ref="P76:P77"/>
    <mergeCell ref="Q76:Q77"/>
    <mergeCell ref="R76:R77"/>
    <mergeCell ref="E80:E81"/>
    <mergeCell ref="F80:F81"/>
    <mergeCell ref="G80:G81"/>
    <mergeCell ref="H80:H81"/>
    <mergeCell ref="I80:I81"/>
    <mergeCell ref="J80:J81"/>
    <mergeCell ref="K80:K81"/>
    <mergeCell ref="S76:S77"/>
    <mergeCell ref="B78:B79"/>
    <mergeCell ref="C78:C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L80:L81"/>
    <mergeCell ref="M80:M81"/>
    <mergeCell ref="N80:N81"/>
    <mergeCell ref="O80:O81"/>
    <mergeCell ref="P80:P81"/>
    <mergeCell ref="R80:R81"/>
    <mergeCell ref="S80:S81"/>
    <mergeCell ref="B82:B83"/>
    <mergeCell ref="C82:C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B80:B81"/>
    <mergeCell ref="C80:C81"/>
    <mergeCell ref="J86:J87"/>
    <mergeCell ref="K86:K87"/>
    <mergeCell ref="S82:S83"/>
    <mergeCell ref="B84:B85"/>
    <mergeCell ref="C84:C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Q86:Q87"/>
    <mergeCell ref="R86:R87"/>
    <mergeCell ref="S86:S87"/>
    <mergeCell ref="B88:B89"/>
    <mergeCell ref="C88:C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Q88:Q89"/>
    <mergeCell ref="R88:R89"/>
    <mergeCell ref="B86:B87"/>
    <mergeCell ref="C86:C87"/>
    <mergeCell ref="E86:E87"/>
    <mergeCell ref="F86:F87"/>
    <mergeCell ref="G86:G87"/>
    <mergeCell ref="H86:H87"/>
    <mergeCell ref="I86:I87"/>
    <mergeCell ref="B90:B91"/>
    <mergeCell ref="C90:C91"/>
    <mergeCell ref="E90:E91"/>
    <mergeCell ref="F90:F91"/>
    <mergeCell ref="G90:G91"/>
    <mergeCell ref="H90:H91"/>
    <mergeCell ref="I90:I91"/>
    <mergeCell ref="J90:J91"/>
    <mergeCell ref="K90:K91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O92:O93"/>
    <mergeCell ref="P92:P93"/>
    <mergeCell ref="Q92:Q93"/>
    <mergeCell ref="R92:R93"/>
    <mergeCell ref="S92:S93"/>
    <mergeCell ref="Q80:Q81"/>
    <mergeCell ref="R82:R83"/>
    <mergeCell ref="S88:S89"/>
    <mergeCell ref="L90:L91"/>
    <mergeCell ref="M90:M91"/>
    <mergeCell ref="N90:N91"/>
    <mergeCell ref="O90:O91"/>
    <mergeCell ref="P90:P91"/>
    <mergeCell ref="Q90:Q91"/>
    <mergeCell ref="R90:R91"/>
    <mergeCell ref="S90:S91"/>
    <mergeCell ref="L86:L87"/>
    <mergeCell ref="M86:M87"/>
    <mergeCell ref="N86:N87"/>
    <mergeCell ref="O86:O87"/>
    <mergeCell ref="P86:P87"/>
  </mergeCells>
  <pageMargins left="0.25" right="0.25" top="0.75" bottom="0.75" header="0.3" footer="0.3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zoomScale="78" zoomScaleNormal="78" workbookViewId="0">
      <selection activeCell="A2" sqref="A2:D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49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4196.2</v>
      </c>
      <c r="C7" s="10">
        <v>1450.1</v>
      </c>
      <c r="D7" s="19" t="s">
        <v>50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1146</v>
      </c>
      <c r="M7" s="10"/>
      <c r="N7" s="10"/>
      <c r="O7" s="53">
        <v>1145.5740000000001</v>
      </c>
      <c r="P7" s="26">
        <f>O7*M2</f>
        <v>5040.5256000000008</v>
      </c>
      <c r="Q7" s="10"/>
      <c r="R7" s="10"/>
      <c r="S7" s="16">
        <v>0</v>
      </c>
    </row>
    <row r="8" spans="1:19" ht="39.75" hidden="1" customHeight="1" x14ac:dyDescent="0.25">
      <c r="A8" s="18">
        <v>44835</v>
      </c>
      <c r="B8" s="10">
        <v>4196.2</v>
      </c>
      <c r="C8" s="10">
        <v>1450.1</v>
      </c>
      <c r="D8" s="19" t="s">
        <v>50</v>
      </c>
      <c r="E8" s="10" t="s">
        <v>23</v>
      </c>
      <c r="F8" s="11">
        <v>7564.24</v>
      </c>
      <c r="G8" s="11">
        <f>7912+228+82</f>
        <v>8222</v>
      </c>
      <c r="H8" s="11">
        <f>124+14+15+15</f>
        <v>168</v>
      </c>
      <c r="I8" s="11">
        <f>F8-(G8+H8)</f>
        <v>-825.76000000000022</v>
      </c>
      <c r="J8" s="24">
        <f>I8</f>
        <v>-825.76000000000022</v>
      </c>
      <c r="K8" s="27" t="s">
        <v>64</v>
      </c>
      <c r="L8" s="34">
        <v>0</v>
      </c>
      <c r="M8" s="29"/>
      <c r="N8" s="29"/>
      <c r="O8" s="53">
        <v>1145.5740000000001</v>
      </c>
      <c r="P8" s="26">
        <f>O8*M2</f>
        <v>5040.5256000000008</v>
      </c>
      <c r="Q8" s="47">
        <f>O8</f>
        <v>1145.5740000000001</v>
      </c>
      <c r="R8" s="28"/>
      <c r="S8" s="16">
        <f>-(Q8*M2)</f>
        <v>-5040.5256000000008</v>
      </c>
    </row>
    <row r="9" spans="1:19" ht="39.75" hidden="1" customHeight="1" x14ac:dyDescent="0.25">
      <c r="A9" s="18">
        <v>44866</v>
      </c>
      <c r="B9" s="10">
        <v>4196.2</v>
      </c>
      <c r="C9" s="10">
        <v>1450.1</v>
      </c>
      <c r="D9" s="19" t="s">
        <v>50</v>
      </c>
      <c r="E9" s="10" t="s">
        <v>23</v>
      </c>
      <c r="F9" s="7">
        <v>10116.44</v>
      </c>
      <c r="G9" s="4">
        <f>8682+189+65</f>
        <v>8936</v>
      </c>
      <c r="H9" s="4">
        <f>136+14+15+15</f>
        <v>180</v>
      </c>
      <c r="I9" s="11">
        <f t="shared" ref="I9:I22" si="0">F9-(G9+H9)</f>
        <v>1000.4400000000005</v>
      </c>
      <c r="J9" s="24">
        <v>174</v>
      </c>
      <c r="K9" s="27" t="s">
        <v>66</v>
      </c>
      <c r="L9" s="34">
        <v>174</v>
      </c>
      <c r="M9" s="28"/>
      <c r="N9" s="28"/>
      <c r="O9" s="53">
        <v>1145.5740000000001</v>
      </c>
      <c r="P9" s="31">
        <f>O9*M2</f>
        <v>5040.5256000000008</v>
      </c>
      <c r="Q9" s="47">
        <f>O9-J9</f>
        <v>971.57400000000007</v>
      </c>
      <c r="R9" s="28"/>
      <c r="S9" s="16">
        <f>-(Q9*M2)</f>
        <v>-4274.9256000000005</v>
      </c>
    </row>
    <row r="10" spans="1:19" ht="39.75" hidden="1" customHeight="1" x14ac:dyDescent="0.25">
      <c r="A10" s="18">
        <v>44896</v>
      </c>
      <c r="B10" s="4">
        <v>4196.2</v>
      </c>
      <c r="C10" s="4">
        <v>1450.1</v>
      </c>
      <c r="D10" s="19" t="s">
        <v>50</v>
      </c>
      <c r="E10" s="4" t="s">
        <v>23</v>
      </c>
      <c r="F10" s="4">
        <v>10447</v>
      </c>
      <c r="G10" s="4">
        <f>7995+303+107</f>
        <v>8405</v>
      </c>
      <c r="H10" s="4">
        <f>119+14+15+15</f>
        <v>163</v>
      </c>
      <c r="I10" s="6">
        <f t="shared" si="0"/>
        <v>1879</v>
      </c>
      <c r="J10" s="24">
        <v>1879</v>
      </c>
      <c r="K10" s="27" t="s">
        <v>67</v>
      </c>
      <c r="L10" s="34">
        <v>1879</v>
      </c>
      <c r="M10" s="28"/>
      <c r="N10" s="28"/>
      <c r="O10" s="55">
        <v>1145.5740000000001</v>
      </c>
      <c r="P10" s="31">
        <f>O10*M2</f>
        <v>5040.5256000000008</v>
      </c>
      <c r="Q10" s="28"/>
      <c r="R10" s="47">
        <f>J10-O10</f>
        <v>733.42599999999993</v>
      </c>
      <c r="S10" s="16">
        <f>R10*M3</f>
        <v>3513.1105399999997</v>
      </c>
    </row>
    <row r="11" spans="1:19" ht="31.5" hidden="1" customHeight="1" x14ac:dyDescent="0.25">
      <c r="A11" s="57">
        <v>44927</v>
      </c>
      <c r="B11" s="58">
        <v>4196.2</v>
      </c>
      <c r="C11" s="58">
        <v>1450.1</v>
      </c>
      <c r="D11" s="59" t="s">
        <v>50</v>
      </c>
      <c r="E11" s="58" t="s">
        <v>23</v>
      </c>
      <c r="F11" s="60">
        <v>11288.36</v>
      </c>
      <c r="G11" s="60">
        <f>8423+220+81</f>
        <v>8724</v>
      </c>
      <c r="H11" s="60">
        <f>155+14+15+15</f>
        <v>199</v>
      </c>
      <c r="I11" s="60">
        <f t="shared" si="0"/>
        <v>2365.3600000000006</v>
      </c>
      <c r="J11" s="61">
        <f>I11</f>
        <v>2365.3600000000006</v>
      </c>
      <c r="K11" s="80" t="s">
        <v>76</v>
      </c>
      <c r="L11" s="62">
        <f>IF(J11&lt;0,0,I11)</f>
        <v>2365.3600000000006</v>
      </c>
      <c r="M11" s="63"/>
      <c r="N11" s="63"/>
      <c r="O11" s="69">
        <v>1145.5740000000001</v>
      </c>
      <c r="P11" s="65">
        <f>O11*M3</f>
        <v>5487.2994600000002</v>
      </c>
      <c r="Q11" s="66"/>
      <c r="R11" s="66">
        <f>L11-O11</f>
        <v>1219.7860000000005</v>
      </c>
      <c r="S11" s="67">
        <f>R11*M3</f>
        <v>5842.7749400000021</v>
      </c>
    </row>
    <row r="12" spans="1:19" ht="31.5" hidden="1" customHeight="1" x14ac:dyDescent="0.25">
      <c r="A12" s="57">
        <v>44958</v>
      </c>
      <c r="B12" s="58">
        <v>4196.2</v>
      </c>
      <c r="C12" s="58">
        <v>1450.1</v>
      </c>
      <c r="D12" s="59" t="s">
        <v>50</v>
      </c>
      <c r="E12" s="58" t="s">
        <v>23</v>
      </c>
      <c r="F12" s="60">
        <v>7198.24</v>
      </c>
      <c r="G12" s="60">
        <f>8074+224+95</f>
        <v>8393</v>
      </c>
      <c r="H12" s="60">
        <f>117+14+15+15</f>
        <v>161</v>
      </c>
      <c r="I12" s="60">
        <f t="shared" si="0"/>
        <v>-1355.7600000000002</v>
      </c>
      <c r="J12" s="61">
        <f t="shared" ref="J12:J22" si="1">I12</f>
        <v>-1355.7600000000002</v>
      </c>
      <c r="K12" s="80"/>
      <c r="L12" s="62">
        <f t="shared" ref="L12:L22" si="2">IF(J12&lt;0,0,I12)</f>
        <v>0</v>
      </c>
      <c r="M12" s="63"/>
      <c r="N12" s="63"/>
      <c r="O12" s="69">
        <v>1145.5740000000001</v>
      </c>
      <c r="P12" s="65">
        <f>O12*M3</f>
        <v>5487.2994600000002</v>
      </c>
      <c r="Q12" s="66">
        <f>-L12-O12</f>
        <v>-1145.5740000000001</v>
      </c>
      <c r="R12" s="66"/>
      <c r="S12" s="67">
        <f>Q12*M3</f>
        <v>-5487.2994600000002</v>
      </c>
    </row>
    <row r="13" spans="1:19" ht="31.5" hidden="1" customHeight="1" x14ac:dyDescent="0.25">
      <c r="A13" s="57">
        <v>44986</v>
      </c>
      <c r="B13" s="58">
        <v>4196.2</v>
      </c>
      <c r="C13" s="58">
        <v>1450.1</v>
      </c>
      <c r="D13" s="59" t="s">
        <v>50</v>
      </c>
      <c r="E13" s="58" t="s">
        <v>23</v>
      </c>
      <c r="F13" s="60">
        <v>11412.24</v>
      </c>
      <c r="G13" s="60">
        <f>8698+172+74</f>
        <v>8944</v>
      </c>
      <c r="H13" s="60">
        <f>148+14+15+15</f>
        <v>192</v>
      </c>
      <c r="I13" s="60">
        <f t="shared" si="0"/>
        <v>2276.2399999999998</v>
      </c>
      <c r="J13" s="61">
        <f>I13+J12</f>
        <v>920.47999999999956</v>
      </c>
      <c r="K13" s="80" t="s">
        <v>77</v>
      </c>
      <c r="L13" s="62">
        <f>J13</f>
        <v>920.47999999999956</v>
      </c>
      <c r="M13" s="63"/>
      <c r="N13" s="63"/>
      <c r="O13" s="69">
        <v>1145.5740000000001</v>
      </c>
      <c r="P13" s="65">
        <f>O13*M3</f>
        <v>5487.2994600000002</v>
      </c>
      <c r="Q13" s="66">
        <f>L13-O13</f>
        <v>-225.09400000000051</v>
      </c>
      <c r="R13" s="66"/>
      <c r="S13" s="67">
        <f>Q13*M3</f>
        <v>-1078.2002600000023</v>
      </c>
    </row>
    <row r="14" spans="1:19" ht="31.5" hidden="1" customHeight="1" x14ac:dyDescent="0.25">
      <c r="A14" s="57">
        <v>45017</v>
      </c>
      <c r="B14" s="58">
        <v>4196.2</v>
      </c>
      <c r="C14" s="58">
        <v>1450.1</v>
      </c>
      <c r="D14" s="59" t="s">
        <v>50</v>
      </c>
      <c r="E14" s="58" t="s">
        <v>23</v>
      </c>
      <c r="F14" s="60">
        <v>8768.16</v>
      </c>
      <c r="G14" s="60">
        <f>7682+216+82</f>
        <v>7980</v>
      </c>
      <c r="H14" s="60">
        <f>129+14+15+15</f>
        <v>173</v>
      </c>
      <c r="I14" s="60">
        <f t="shared" si="0"/>
        <v>615.15999999999985</v>
      </c>
      <c r="J14" s="61">
        <f t="shared" si="1"/>
        <v>615.15999999999985</v>
      </c>
      <c r="K14" s="80" t="s">
        <v>78</v>
      </c>
      <c r="L14" s="62">
        <f t="shared" si="2"/>
        <v>615.15999999999985</v>
      </c>
      <c r="M14" s="63"/>
      <c r="N14" s="63"/>
      <c r="O14" s="69">
        <v>1145.5740000000001</v>
      </c>
      <c r="P14" s="65">
        <f>O14*M3</f>
        <v>5487.2994600000002</v>
      </c>
      <c r="Q14" s="66">
        <f>L14-O14</f>
        <v>-530.41400000000021</v>
      </c>
      <c r="R14" s="66"/>
      <c r="S14" s="67">
        <f>Q14*M3</f>
        <v>-2540.6830600000012</v>
      </c>
    </row>
    <row r="15" spans="1:19" ht="31.5" hidden="1" customHeight="1" x14ac:dyDescent="0.25">
      <c r="A15" s="57">
        <v>45047</v>
      </c>
      <c r="B15" s="58">
        <v>4196.2</v>
      </c>
      <c r="C15" s="58">
        <v>1450.1</v>
      </c>
      <c r="D15" s="59" t="s">
        <v>50</v>
      </c>
      <c r="E15" s="58" t="s">
        <v>23</v>
      </c>
      <c r="F15" s="60">
        <v>10203.719999999999</v>
      </c>
      <c r="G15" s="60">
        <f>7540+212+73</f>
        <v>7825</v>
      </c>
      <c r="H15" s="60">
        <f>241+14+15+15</f>
        <v>285</v>
      </c>
      <c r="I15" s="60">
        <f t="shared" si="0"/>
        <v>2093.7199999999993</v>
      </c>
      <c r="J15" s="61">
        <f t="shared" si="1"/>
        <v>2093.7199999999993</v>
      </c>
      <c r="K15" s="80" t="s">
        <v>79</v>
      </c>
      <c r="L15" s="62">
        <f t="shared" si="2"/>
        <v>2093.7199999999993</v>
      </c>
      <c r="M15" s="63"/>
      <c r="N15" s="63"/>
      <c r="O15" s="69">
        <v>1145.5740000000001</v>
      </c>
      <c r="P15" s="65">
        <f>O15*M3</f>
        <v>5487.2994600000002</v>
      </c>
      <c r="Q15" s="66"/>
      <c r="R15" s="66">
        <f>L15-O15</f>
        <v>948.14599999999928</v>
      </c>
      <c r="S15" s="67">
        <f>R15*M3</f>
        <v>4541.6193399999966</v>
      </c>
    </row>
    <row r="16" spans="1:19" ht="31.5" hidden="1" customHeight="1" x14ac:dyDescent="0.25">
      <c r="A16" s="57">
        <v>45078</v>
      </c>
      <c r="B16" s="58">
        <v>4196.2</v>
      </c>
      <c r="C16" s="58">
        <v>1450.1</v>
      </c>
      <c r="D16" s="59" t="s">
        <v>50</v>
      </c>
      <c r="E16" s="58" t="s">
        <v>23</v>
      </c>
      <c r="F16" s="60">
        <v>8289.8799999999992</v>
      </c>
      <c r="G16" s="60">
        <f>7414+194+75</f>
        <v>7683</v>
      </c>
      <c r="H16" s="60">
        <f>187+14+15+15</f>
        <v>231</v>
      </c>
      <c r="I16" s="60">
        <f t="shared" si="0"/>
        <v>375.8799999999992</v>
      </c>
      <c r="J16" s="61">
        <f t="shared" si="1"/>
        <v>375.8799999999992</v>
      </c>
      <c r="K16" s="80" t="s">
        <v>80</v>
      </c>
      <c r="L16" s="62">
        <f t="shared" si="2"/>
        <v>375.8799999999992</v>
      </c>
      <c r="M16" s="63"/>
      <c r="N16" s="63"/>
      <c r="O16" s="69">
        <v>1145.5740000000001</v>
      </c>
      <c r="P16" s="65">
        <f>O16*M3</f>
        <v>5487.2994600000002</v>
      </c>
      <c r="Q16" s="66">
        <f>L16-O16</f>
        <v>-769.69400000000087</v>
      </c>
      <c r="R16" s="66"/>
      <c r="S16" s="67">
        <f>Q16*M3</f>
        <v>-3686.8342600000042</v>
      </c>
    </row>
    <row r="17" spans="1:19" ht="31.5" hidden="1" customHeight="1" x14ac:dyDescent="0.25">
      <c r="A17" s="57">
        <v>45108</v>
      </c>
      <c r="B17" s="58">
        <v>4196.2</v>
      </c>
      <c r="C17" s="58">
        <v>1450.1</v>
      </c>
      <c r="D17" s="59" t="s">
        <v>50</v>
      </c>
      <c r="E17" s="58" t="s">
        <v>23</v>
      </c>
      <c r="F17" s="60">
        <v>7740.16</v>
      </c>
      <c r="G17" s="60">
        <f>7794+245+103</f>
        <v>8142</v>
      </c>
      <c r="H17" s="60">
        <f>141+14+15+15</f>
        <v>185</v>
      </c>
      <c r="I17" s="60">
        <f t="shared" si="0"/>
        <v>-586.84000000000015</v>
      </c>
      <c r="J17" s="61">
        <f t="shared" si="1"/>
        <v>-586.84000000000015</v>
      </c>
      <c r="K17" s="80" t="s">
        <v>81</v>
      </c>
      <c r="L17" s="62">
        <f t="shared" si="2"/>
        <v>0</v>
      </c>
      <c r="M17" s="63"/>
      <c r="N17" s="63"/>
      <c r="O17" s="69">
        <v>1145.5740000000001</v>
      </c>
      <c r="P17" s="65">
        <f>O17*M3</f>
        <v>5487.2994600000002</v>
      </c>
      <c r="Q17" s="66">
        <f>L17-O17</f>
        <v>-1145.5740000000001</v>
      </c>
      <c r="R17" s="66"/>
      <c r="S17" s="67">
        <f>Q17*M3</f>
        <v>-5487.2994600000002</v>
      </c>
    </row>
    <row r="18" spans="1:19" ht="31.5" hidden="1" customHeight="1" x14ac:dyDescent="0.25">
      <c r="A18" s="57">
        <v>45139</v>
      </c>
      <c r="B18" s="58">
        <v>4196.2</v>
      </c>
      <c r="C18" s="58">
        <v>1450.1</v>
      </c>
      <c r="D18" s="59" t="s">
        <v>50</v>
      </c>
      <c r="E18" s="58" t="s">
        <v>23</v>
      </c>
      <c r="F18" s="60">
        <v>9709.6</v>
      </c>
      <c r="G18" s="60">
        <f>8065+234+107</f>
        <v>8406</v>
      </c>
      <c r="H18" s="60">
        <f>130+14+15+15</f>
        <v>174</v>
      </c>
      <c r="I18" s="60">
        <f t="shared" si="0"/>
        <v>1129.6000000000004</v>
      </c>
      <c r="J18" s="61">
        <f>I18+J17</f>
        <v>542.76000000000022</v>
      </c>
      <c r="K18" s="80" t="s">
        <v>82</v>
      </c>
      <c r="L18" s="62">
        <f>J18</f>
        <v>542.76000000000022</v>
      </c>
      <c r="M18" s="63"/>
      <c r="N18" s="63"/>
      <c r="O18" s="69">
        <v>1145.5740000000001</v>
      </c>
      <c r="P18" s="65">
        <f>O18*M3</f>
        <v>5487.2994600000002</v>
      </c>
      <c r="Q18" s="66">
        <f>L18-O18</f>
        <v>-602.81399999999985</v>
      </c>
      <c r="R18" s="66"/>
      <c r="S18" s="67">
        <f>Q18*M3</f>
        <v>-2887.4790599999992</v>
      </c>
    </row>
    <row r="19" spans="1:19" ht="31.5" hidden="1" customHeight="1" x14ac:dyDescent="0.25">
      <c r="A19" s="57">
        <v>45170</v>
      </c>
      <c r="B19" s="58">
        <v>4196.2</v>
      </c>
      <c r="C19" s="58">
        <v>1450.1</v>
      </c>
      <c r="D19" s="59" t="s">
        <v>50</v>
      </c>
      <c r="E19" s="58" t="s">
        <v>23</v>
      </c>
      <c r="F19" s="60">
        <v>11263.6</v>
      </c>
      <c r="G19" s="60">
        <f>8377+220+63</f>
        <v>8660</v>
      </c>
      <c r="H19" s="60">
        <f>163+14+15+15</f>
        <v>207</v>
      </c>
      <c r="I19" s="60">
        <f t="shared" si="0"/>
        <v>2396.6000000000004</v>
      </c>
      <c r="J19" s="61">
        <f t="shared" si="1"/>
        <v>2396.6000000000004</v>
      </c>
      <c r="K19" s="80" t="s">
        <v>83</v>
      </c>
      <c r="L19" s="62">
        <f t="shared" si="2"/>
        <v>2396.6000000000004</v>
      </c>
      <c r="M19" s="63"/>
      <c r="N19" s="63"/>
      <c r="O19" s="69">
        <v>1145.5740000000001</v>
      </c>
      <c r="P19" s="65">
        <f>O19*M3</f>
        <v>5487.2994600000002</v>
      </c>
      <c r="Q19" s="66"/>
      <c r="R19" s="66">
        <f>L19-O19</f>
        <v>1251.0260000000003</v>
      </c>
      <c r="S19" s="67">
        <f>R19*M3</f>
        <v>5992.4145400000016</v>
      </c>
    </row>
    <row r="20" spans="1:19" ht="31.5" hidden="1" customHeight="1" x14ac:dyDescent="0.25">
      <c r="A20" s="57">
        <v>45200</v>
      </c>
      <c r="B20" s="58">
        <v>4196.2</v>
      </c>
      <c r="C20" s="58">
        <v>1450.1</v>
      </c>
      <c r="D20" s="59" t="s">
        <v>50</v>
      </c>
      <c r="E20" s="58" t="s">
        <v>23</v>
      </c>
      <c r="F20" s="60">
        <v>11328.44</v>
      </c>
      <c r="G20" s="60">
        <f>10238+263+104</f>
        <v>10605</v>
      </c>
      <c r="H20" s="60">
        <f>257+14+15+15</f>
        <v>301</v>
      </c>
      <c r="I20" s="60">
        <f t="shared" si="0"/>
        <v>422.44000000000051</v>
      </c>
      <c r="J20" s="61">
        <f t="shared" si="1"/>
        <v>422.44000000000051</v>
      </c>
      <c r="K20" s="80" t="s">
        <v>84</v>
      </c>
      <c r="L20" s="62">
        <f t="shared" si="2"/>
        <v>422.44000000000051</v>
      </c>
      <c r="M20" s="63"/>
      <c r="N20" s="63"/>
      <c r="O20" s="69">
        <v>1145.5740000000001</v>
      </c>
      <c r="P20" s="65">
        <f>O20*M3</f>
        <v>5487.2994600000002</v>
      </c>
      <c r="Q20" s="66">
        <f>L20-O20</f>
        <v>-723.13399999999956</v>
      </c>
      <c r="R20" s="66"/>
      <c r="S20" s="67">
        <f>S17+S18</f>
        <v>-8374.7785199999998</v>
      </c>
    </row>
    <row r="21" spans="1:19" ht="31.5" hidden="1" customHeight="1" x14ac:dyDescent="0.25">
      <c r="A21" s="57">
        <v>45231</v>
      </c>
      <c r="B21" s="58">
        <v>4196.2</v>
      </c>
      <c r="C21" s="58">
        <v>1450.1</v>
      </c>
      <c r="D21" s="59" t="s">
        <v>50</v>
      </c>
      <c r="E21" s="58" t="s">
        <v>23</v>
      </c>
      <c r="F21" s="60">
        <v>10195.36</v>
      </c>
      <c r="G21" s="60">
        <f>9183+232+84</f>
        <v>9499</v>
      </c>
      <c r="H21" s="60">
        <f>132+14+15+15</f>
        <v>176</v>
      </c>
      <c r="I21" s="60">
        <f t="shared" si="0"/>
        <v>520.36000000000058</v>
      </c>
      <c r="J21" s="61">
        <f t="shared" si="1"/>
        <v>520.36000000000058</v>
      </c>
      <c r="K21" s="80" t="s">
        <v>85</v>
      </c>
      <c r="L21" s="62">
        <f t="shared" si="2"/>
        <v>520.36000000000058</v>
      </c>
      <c r="M21" s="63"/>
      <c r="N21" s="63"/>
      <c r="O21" s="69">
        <v>1145.5740000000001</v>
      </c>
      <c r="P21" s="65">
        <f>O21*M3</f>
        <v>5487.2994600000002</v>
      </c>
      <c r="Q21" s="66">
        <f>L21-O21</f>
        <v>-625.21399999999949</v>
      </c>
      <c r="R21" s="66"/>
      <c r="S21" s="67">
        <f>Q21*M3</f>
        <v>-2994.7750599999977</v>
      </c>
    </row>
    <row r="22" spans="1:19" ht="31.5" hidden="1" customHeight="1" x14ac:dyDescent="0.25">
      <c r="A22" s="57">
        <v>45261</v>
      </c>
      <c r="B22" s="58">
        <v>4196.2</v>
      </c>
      <c r="C22" s="58">
        <v>1450.1</v>
      </c>
      <c r="D22" s="59" t="s">
        <v>50</v>
      </c>
      <c r="E22" s="58" t="s">
        <v>23</v>
      </c>
      <c r="F22" s="60">
        <v>10174.879999999999</v>
      </c>
      <c r="G22" s="60">
        <f>7823+228+84</f>
        <v>8135</v>
      </c>
      <c r="H22" s="60">
        <f>14+15+15</f>
        <v>44</v>
      </c>
      <c r="I22" s="60">
        <f t="shared" si="0"/>
        <v>1995.8799999999992</v>
      </c>
      <c r="J22" s="61">
        <f t="shared" si="1"/>
        <v>1995.8799999999992</v>
      </c>
      <c r="K22" s="81" t="s">
        <v>86</v>
      </c>
      <c r="L22" s="62">
        <f t="shared" si="2"/>
        <v>1995.8799999999992</v>
      </c>
      <c r="M22" s="63"/>
      <c r="N22" s="63"/>
      <c r="O22" s="69">
        <v>1145.5740000000001</v>
      </c>
      <c r="P22" s="65">
        <f>O22*M3</f>
        <v>5487.2994600000002</v>
      </c>
      <c r="Q22" s="66"/>
      <c r="R22" s="66">
        <f>L22-O22</f>
        <v>850.30599999999913</v>
      </c>
      <c r="S22" s="67">
        <f>R22*M3</f>
        <v>4072.965739999996</v>
      </c>
    </row>
    <row r="23" spans="1:19" s="20" customFormat="1" ht="31.5" hidden="1" customHeight="1" x14ac:dyDescent="0.25">
      <c r="A23" s="75"/>
      <c r="L23" s="20">
        <f>SUM(L11:L22)</f>
        <v>12248.64</v>
      </c>
      <c r="O23" s="20">
        <f>SUM(O11:O22)</f>
        <v>13746.888000000004</v>
      </c>
      <c r="P23" s="20">
        <f>SUM(P11:P22)</f>
        <v>65847.593520000009</v>
      </c>
      <c r="R23" s="20">
        <f>SUM(Q11:R22)</f>
        <v>-1498.2480000000014</v>
      </c>
      <c r="S23" s="20">
        <f>SUM(S11:S22)</f>
        <v>-12087.57458000001</v>
      </c>
    </row>
    <row r="24" spans="1:19" s="20" customFormat="1" ht="31.5" hidden="1" customHeight="1" x14ac:dyDescent="0.25">
      <c r="A24" s="75"/>
      <c r="L24" s="20">
        <f>L23*M3</f>
        <v>58670.9856</v>
      </c>
    </row>
    <row r="25" spans="1:19" s="20" customFormat="1" ht="15.75" hidden="1" customHeight="1" x14ac:dyDescent="0.25">
      <c r="A25" s="75"/>
    </row>
    <row r="26" spans="1:19" s="20" customFormat="1" ht="15.75" hidden="1" customHeight="1" x14ac:dyDescent="0.25">
      <c r="A26" s="75"/>
    </row>
    <row r="27" spans="1:19" ht="31.5" hidden="1" customHeight="1" x14ac:dyDescent="0.25">
      <c r="A27" s="57">
        <v>45292</v>
      </c>
      <c r="B27" s="58">
        <v>4196.2</v>
      </c>
      <c r="C27" s="58">
        <v>1450.1</v>
      </c>
      <c r="D27" s="59" t="s">
        <v>50</v>
      </c>
      <c r="E27" s="58" t="s">
        <v>23</v>
      </c>
      <c r="F27" s="60">
        <v>12698</v>
      </c>
      <c r="G27" s="60">
        <f>9342+66+31</f>
        <v>9439</v>
      </c>
      <c r="H27" s="60">
        <f>258+14+15+15</f>
        <v>302</v>
      </c>
      <c r="I27" s="60">
        <f t="shared" ref="I27:I37" si="3">F27-(G27+H27)</f>
        <v>2957</v>
      </c>
      <c r="J27" s="61">
        <f>I27</f>
        <v>2957</v>
      </c>
      <c r="K27" s="81" t="s">
        <v>87</v>
      </c>
      <c r="L27" s="62">
        <f t="shared" ref="L27:L32" si="4">IF(J27&lt;0,0,I27)</f>
        <v>2957</v>
      </c>
      <c r="M27" s="63"/>
      <c r="N27" s="63"/>
      <c r="O27" s="69">
        <v>1145.5740000000001</v>
      </c>
      <c r="P27" s="65">
        <f>O27*O2</f>
        <v>5487.2994600000002</v>
      </c>
      <c r="Q27" s="66"/>
      <c r="R27" s="66">
        <f>L27-O27</f>
        <v>1811.4259999999999</v>
      </c>
      <c r="S27" s="67">
        <f>R27*O2</f>
        <v>8676.7305400000005</v>
      </c>
    </row>
    <row r="28" spans="1:19" ht="31.5" hidden="1" customHeight="1" x14ac:dyDescent="0.25">
      <c r="A28" s="57">
        <v>45323</v>
      </c>
      <c r="B28" s="58">
        <v>4196.2</v>
      </c>
      <c r="C28" s="58">
        <v>1450.1</v>
      </c>
      <c r="D28" s="59" t="s">
        <v>50</v>
      </c>
      <c r="E28" s="58" t="s">
        <v>23</v>
      </c>
      <c r="F28" s="60">
        <v>9730</v>
      </c>
      <c r="G28" s="60">
        <f>11790+363+159</f>
        <v>12312</v>
      </c>
      <c r="H28" s="60">
        <f>117+14+15+15</f>
        <v>161</v>
      </c>
      <c r="I28" s="60">
        <f t="shared" si="3"/>
        <v>-2743</v>
      </c>
      <c r="J28" s="61">
        <f t="shared" ref="J28" si="5">I28</f>
        <v>-2743</v>
      </c>
      <c r="K28" s="82" t="s">
        <v>88</v>
      </c>
      <c r="L28" s="62">
        <f t="shared" si="4"/>
        <v>0</v>
      </c>
      <c r="M28" s="63"/>
      <c r="N28" s="63"/>
      <c r="O28" s="69">
        <v>1145.5740000000001</v>
      </c>
      <c r="P28" s="65">
        <f>O28*O2</f>
        <v>5487.2994600000002</v>
      </c>
      <c r="Q28" s="66">
        <f>-L28-O28</f>
        <v>-1145.5740000000001</v>
      </c>
      <c r="R28" s="66"/>
      <c r="S28" s="67">
        <f>R28*O2</f>
        <v>0</v>
      </c>
    </row>
    <row r="29" spans="1:19" ht="31.5" hidden="1" customHeight="1" x14ac:dyDescent="0.25">
      <c r="A29" s="57">
        <v>45352</v>
      </c>
      <c r="B29" s="58">
        <v>4196.2</v>
      </c>
      <c r="C29" s="58">
        <v>1450.1</v>
      </c>
      <c r="D29" s="59" t="s">
        <v>50</v>
      </c>
      <c r="E29" s="58" t="s">
        <v>23</v>
      </c>
      <c r="F29" s="60">
        <v>9604</v>
      </c>
      <c r="G29" s="60">
        <f>6884+224+85</f>
        <v>7193</v>
      </c>
      <c r="H29" s="60">
        <f>158+14+15+15</f>
        <v>202</v>
      </c>
      <c r="I29" s="60">
        <f t="shared" ref="I29:I34" si="6">F29-(G29+H29)</f>
        <v>2209</v>
      </c>
      <c r="J29" s="61">
        <f>I29</f>
        <v>2209</v>
      </c>
      <c r="K29" s="80" t="s">
        <v>89</v>
      </c>
      <c r="L29" s="62">
        <f t="shared" si="4"/>
        <v>2209</v>
      </c>
      <c r="M29" s="63"/>
      <c r="N29" s="63"/>
      <c r="O29" s="69">
        <v>1145.5740000000001</v>
      </c>
      <c r="P29" s="65">
        <f>O29*O2</f>
        <v>5487.2994600000002</v>
      </c>
      <c r="Q29" s="66"/>
      <c r="R29" s="66">
        <f>L29-O29</f>
        <v>1063.4259999999999</v>
      </c>
      <c r="S29" s="67">
        <f>R29*O2</f>
        <v>5093.8105399999995</v>
      </c>
    </row>
    <row r="30" spans="1:19" ht="31.5" hidden="1" customHeight="1" x14ac:dyDescent="0.25">
      <c r="A30" s="57">
        <v>45383</v>
      </c>
      <c r="B30" s="58">
        <v>4196.2</v>
      </c>
      <c r="C30" s="58">
        <v>1450.1</v>
      </c>
      <c r="D30" s="59" t="s">
        <v>50</v>
      </c>
      <c r="E30" s="58" t="s">
        <v>23</v>
      </c>
      <c r="F30" s="60">
        <v>10191</v>
      </c>
      <c r="G30" s="60">
        <f>7975+221+24</f>
        <v>8220</v>
      </c>
      <c r="H30" s="60">
        <f>153+14+15+15</f>
        <v>197</v>
      </c>
      <c r="I30" s="60">
        <f t="shared" si="6"/>
        <v>1774</v>
      </c>
      <c r="J30" s="61">
        <f>I30</f>
        <v>1774</v>
      </c>
      <c r="K30" s="80" t="s">
        <v>90</v>
      </c>
      <c r="L30" s="62">
        <f t="shared" si="4"/>
        <v>1774</v>
      </c>
      <c r="M30" s="63"/>
      <c r="N30" s="63"/>
      <c r="O30" s="69">
        <v>1145.5740000000001</v>
      </c>
      <c r="P30" s="65">
        <f>O30*O2</f>
        <v>5487.2994600000002</v>
      </c>
      <c r="Q30" s="66"/>
      <c r="R30" s="66">
        <f>L30-O30</f>
        <v>628.42599999999993</v>
      </c>
      <c r="S30" s="67">
        <f>R30*O2</f>
        <v>3010.1605399999999</v>
      </c>
    </row>
    <row r="31" spans="1:19" ht="31.5" hidden="1" customHeight="1" x14ac:dyDescent="0.25">
      <c r="A31" s="57">
        <v>45413</v>
      </c>
      <c r="B31" s="58">
        <v>4196.2</v>
      </c>
      <c r="C31" s="58">
        <v>1450.1</v>
      </c>
      <c r="D31" s="59" t="s">
        <v>50</v>
      </c>
      <c r="E31" s="58" t="s">
        <v>23</v>
      </c>
      <c r="F31" s="60">
        <v>8849</v>
      </c>
      <c r="G31" s="60">
        <f>8072+159+85</f>
        <v>8316</v>
      </c>
      <c r="H31" s="60">
        <f>144+14+15+15</f>
        <v>188</v>
      </c>
      <c r="I31" s="60">
        <f t="shared" si="6"/>
        <v>345</v>
      </c>
      <c r="J31" s="61">
        <f>I31</f>
        <v>345</v>
      </c>
      <c r="K31" s="80" t="s">
        <v>91</v>
      </c>
      <c r="L31" s="62">
        <f t="shared" si="4"/>
        <v>345</v>
      </c>
      <c r="M31" s="63"/>
      <c r="N31" s="63"/>
      <c r="O31" s="69">
        <v>1145.5740000000001</v>
      </c>
      <c r="P31" s="65">
        <f>O31*O2</f>
        <v>5487.2994600000002</v>
      </c>
      <c r="Q31" s="66">
        <f>L31-O31</f>
        <v>-800.57400000000007</v>
      </c>
      <c r="R31" s="66"/>
      <c r="S31" s="67">
        <f>R31*O2</f>
        <v>0</v>
      </c>
    </row>
    <row r="32" spans="1:19" ht="31.5" hidden="1" customHeight="1" x14ac:dyDescent="0.25">
      <c r="A32" s="57">
        <v>45444</v>
      </c>
      <c r="B32" s="58">
        <v>4196.2</v>
      </c>
      <c r="C32" s="58">
        <v>1450.1</v>
      </c>
      <c r="D32" s="59" t="s">
        <v>50</v>
      </c>
      <c r="E32" s="58" t="s">
        <v>23</v>
      </c>
      <c r="F32" s="60">
        <v>8722</v>
      </c>
      <c r="G32" s="60">
        <f>8165+291+86</f>
        <v>8542</v>
      </c>
      <c r="H32" s="60">
        <f>14+98+15+15</f>
        <v>142</v>
      </c>
      <c r="I32" s="60">
        <f t="shared" si="6"/>
        <v>38</v>
      </c>
      <c r="J32" s="61">
        <f>I32</f>
        <v>38</v>
      </c>
      <c r="K32" s="80" t="s">
        <v>92</v>
      </c>
      <c r="L32" s="62">
        <f t="shared" si="4"/>
        <v>38</v>
      </c>
      <c r="M32" s="63"/>
      <c r="N32" s="63"/>
      <c r="O32" s="69">
        <v>1145.5740000000001</v>
      </c>
      <c r="P32" s="65">
        <f>O32*O2</f>
        <v>5487.2994600000002</v>
      </c>
      <c r="Q32" s="66">
        <f t="shared" ref="Q32:Q35" si="7">L32-O32</f>
        <v>-1107.5740000000001</v>
      </c>
      <c r="R32" s="66"/>
      <c r="S32" s="67">
        <f>R32*O2</f>
        <v>0</v>
      </c>
    </row>
    <row r="33" spans="1:19" ht="31.5" hidden="1" customHeight="1" x14ac:dyDescent="0.25">
      <c r="A33" s="57">
        <v>45474</v>
      </c>
      <c r="B33" s="58">
        <v>4196.2</v>
      </c>
      <c r="C33" s="58">
        <v>1450.1</v>
      </c>
      <c r="D33" s="59" t="s">
        <v>50</v>
      </c>
      <c r="E33" s="58" t="s">
        <v>23</v>
      </c>
      <c r="F33" s="60">
        <v>8902</v>
      </c>
      <c r="G33" s="60">
        <f>7772+204+81</f>
        <v>8057</v>
      </c>
      <c r="H33" s="60">
        <f>81+14+15+15</f>
        <v>125</v>
      </c>
      <c r="I33" s="60">
        <f t="shared" si="6"/>
        <v>720</v>
      </c>
      <c r="J33" s="61">
        <f t="shared" ref="J33" si="8">I33</f>
        <v>720</v>
      </c>
      <c r="K33" s="80" t="s">
        <v>93</v>
      </c>
      <c r="L33" s="62">
        <f t="shared" ref="L33:L37" si="9">IF(J33&lt;0,0,I33)</f>
        <v>720</v>
      </c>
      <c r="M33" s="63"/>
      <c r="N33" s="63"/>
      <c r="O33" s="69">
        <v>1145.5740000000001</v>
      </c>
      <c r="P33" s="65">
        <f>O33*O3</f>
        <v>5968.4405400000005</v>
      </c>
      <c r="Q33" s="66">
        <f t="shared" si="7"/>
        <v>-425.57400000000007</v>
      </c>
      <c r="R33" s="66"/>
      <c r="S33" s="67">
        <f>R33*O3</f>
        <v>0</v>
      </c>
    </row>
    <row r="34" spans="1:19" ht="31.5" hidden="1" customHeight="1" x14ac:dyDescent="0.25">
      <c r="A34" s="57">
        <v>45505</v>
      </c>
      <c r="B34" s="58">
        <v>4196.2</v>
      </c>
      <c r="C34" s="58">
        <v>1450.1</v>
      </c>
      <c r="D34" s="59" t="s">
        <v>50</v>
      </c>
      <c r="E34" s="58" t="s">
        <v>23</v>
      </c>
      <c r="F34" s="60">
        <v>9267</v>
      </c>
      <c r="G34" s="60">
        <f>7920+226+84</f>
        <v>8230</v>
      </c>
      <c r="H34" s="60">
        <f>126+14+15+15</f>
        <v>170</v>
      </c>
      <c r="I34" s="60">
        <f t="shared" si="6"/>
        <v>867</v>
      </c>
      <c r="J34" s="61">
        <f>I34</f>
        <v>867</v>
      </c>
      <c r="K34" s="80" t="s">
        <v>94</v>
      </c>
      <c r="L34" s="62">
        <f>IF(J34&lt;0,0,I34)</f>
        <v>867</v>
      </c>
      <c r="M34" s="63"/>
      <c r="N34" s="63"/>
      <c r="O34" s="69">
        <v>1145.5740000000001</v>
      </c>
      <c r="P34" s="65">
        <f>O34*O3</f>
        <v>5968.4405400000005</v>
      </c>
      <c r="Q34" s="66">
        <f t="shared" si="7"/>
        <v>-278.57400000000007</v>
      </c>
      <c r="R34" s="66"/>
      <c r="S34" s="67">
        <f>R34*O3</f>
        <v>0</v>
      </c>
    </row>
    <row r="35" spans="1:19" ht="31.5" hidden="1" customHeight="1" x14ac:dyDescent="0.25">
      <c r="A35" s="57">
        <v>45536</v>
      </c>
      <c r="B35" s="58">
        <v>4196.2</v>
      </c>
      <c r="C35" s="58">
        <v>1450.1</v>
      </c>
      <c r="D35" s="59" t="s">
        <v>50</v>
      </c>
      <c r="E35" s="58" t="s">
        <v>23</v>
      </c>
      <c r="F35" s="60">
        <v>8116</v>
      </c>
      <c r="G35" s="60">
        <f>7624+170+68</f>
        <v>7862</v>
      </c>
      <c r="H35" s="60">
        <f>130+14+15+15</f>
        <v>174</v>
      </c>
      <c r="I35" s="60">
        <f t="shared" si="3"/>
        <v>80</v>
      </c>
      <c r="J35" s="61">
        <f t="shared" ref="J35:J38" si="10">I35</f>
        <v>80</v>
      </c>
      <c r="K35" s="80" t="s">
        <v>95</v>
      </c>
      <c r="L35" s="62">
        <f t="shared" si="9"/>
        <v>80</v>
      </c>
      <c r="M35" s="63"/>
      <c r="N35" s="63"/>
      <c r="O35" s="69">
        <v>1145.5740000000001</v>
      </c>
      <c r="P35" s="65">
        <f>O35*O3</f>
        <v>5968.4405400000005</v>
      </c>
      <c r="Q35" s="66">
        <f t="shared" si="7"/>
        <v>-1065.5740000000001</v>
      </c>
      <c r="R35" s="66"/>
      <c r="S35" s="67">
        <f>R35*O3</f>
        <v>0</v>
      </c>
    </row>
    <row r="36" spans="1:19" ht="31.5" hidden="1" customHeight="1" x14ac:dyDescent="0.25">
      <c r="A36" s="57">
        <v>45566</v>
      </c>
      <c r="B36" s="58">
        <v>4196.2</v>
      </c>
      <c r="C36" s="58">
        <v>1450.1</v>
      </c>
      <c r="D36" s="59" t="s">
        <v>50</v>
      </c>
      <c r="E36" s="58" t="s">
        <v>23</v>
      </c>
      <c r="F36" s="60">
        <v>12018</v>
      </c>
      <c r="G36" s="60">
        <f>9286+251+94</f>
        <v>9631</v>
      </c>
      <c r="H36" s="60">
        <f>202+14+15+15</f>
        <v>246</v>
      </c>
      <c r="I36" s="60">
        <f t="shared" si="3"/>
        <v>2141</v>
      </c>
      <c r="J36" s="61">
        <f t="shared" si="10"/>
        <v>2141</v>
      </c>
      <c r="K36" s="80" t="s">
        <v>96</v>
      </c>
      <c r="L36" s="62">
        <f t="shared" si="9"/>
        <v>2141</v>
      </c>
      <c r="M36" s="63"/>
      <c r="N36" s="63"/>
      <c r="O36" s="69">
        <v>1145.5740000000001</v>
      </c>
      <c r="P36" s="65">
        <f>O36*O3</f>
        <v>5968.4405400000005</v>
      </c>
      <c r="Q36" s="66"/>
      <c r="R36" s="66">
        <f>L36-O36</f>
        <v>995.42599999999993</v>
      </c>
      <c r="S36" s="67">
        <f>R36*O3</f>
        <v>5186.1694599999992</v>
      </c>
    </row>
    <row r="37" spans="1:19" ht="31.5" hidden="1" customHeight="1" x14ac:dyDescent="0.25">
      <c r="A37" s="57">
        <v>45597</v>
      </c>
      <c r="B37" s="58">
        <v>4196.2</v>
      </c>
      <c r="C37" s="58">
        <v>1450.1</v>
      </c>
      <c r="D37" s="59" t="s">
        <v>50</v>
      </c>
      <c r="E37" s="58" t="s">
        <v>23</v>
      </c>
      <c r="F37" s="60">
        <v>9887</v>
      </c>
      <c r="G37" s="60">
        <f>8392+381+133</f>
        <v>8906</v>
      </c>
      <c r="H37" s="60">
        <f>132+14+15+15</f>
        <v>176</v>
      </c>
      <c r="I37" s="60">
        <f t="shared" si="3"/>
        <v>805</v>
      </c>
      <c r="J37" s="61">
        <f t="shared" si="10"/>
        <v>805</v>
      </c>
      <c r="K37" s="80" t="s">
        <v>97</v>
      </c>
      <c r="L37" s="62">
        <f t="shared" si="9"/>
        <v>805</v>
      </c>
      <c r="M37" s="63"/>
      <c r="N37" s="63"/>
      <c r="O37" s="69">
        <v>1145.5740000000001</v>
      </c>
      <c r="P37" s="65">
        <f>O37*O3</f>
        <v>5968.4405400000005</v>
      </c>
      <c r="Q37" s="66">
        <f>L37-O37</f>
        <v>-340.57400000000007</v>
      </c>
      <c r="R37" s="66"/>
      <c r="S37" s="67">
        <f>R37*O3</f>
        <v>0</v>
      </c>
    </row>
    <row r="38" spans="1:19" ht="31.5" hidden="1" customHeight="1" x14ac:dyDescent="0.25">
      <c r="A38" s="57">
        <v>45627</v>
      </c>
      <c r="B38" s="58">
        <v>4196.2</v>
      </c>
      <c r="C38" s="58">
        <v>1450.1</v>
      </c>
      <c r="D38" s="59" t="s">
        <v>50</v>
      </c>
      <c r="E38" s="58" t="s">
        <v>23</v>
      </c>
      <c r="F38" s="60">
        <v>10955</v>
      </c>
      <c r="G38" s="60">
        <f>8466+267+113</f>
        <v>8846</v>
      </c>
      <c r="H38" s="60">
        <f>108+14+15+15</f>
        <v>152</v>
      </c>
      <c r="I38" s="60">
        <f>F38-(G38+H38)</f>
        <v>1957</v>
      </c>
      <c r="J38" s="61">
        <f t="shared" si="10"/>
        <v>1957</v>
      </c>
      <c r="K38" s="81" t="s">
        <v>98</v>
      </c>
      <c r="L38" s="62">
        <f>IF(J38&lt;0,0,I38)</f>
        <v>1957</v>
      </c>
      <c r="M38" s="63"/>
      <c r="N38" s="63"/>
      <c r="O38" s="69">
        <v>1145.5740000000001</v>
      </c>
      <c r="P38" s="65">
        <f>O38*O3</f>
        <v>5968.4405400000005</v>
      </c>
      <c r="Q38" s="66"/>
      <c r="R38" s="66">
        <f>L38-O38</f>
        <v>811.42599999999993</v>
      </c>
      <c r="S38" s="67">
        <f>R38*O3</f>
        <v>4227.5294599999997</v>
      </c>
    </row>
    <row r="39" spans="1:19" s="20" customFormat="1" ht="31.5" hidden="1" customHeight="1" x14ac:dyDescent="0.25">
      <c r="A39" s="75"/>
      <c r="L39" s="20">
        <f>SUM(L27:L38)</f>
        <v>13893</v>
      </c>
      <c r="O39" s="20">
        <f>SUM(O27:O38)</f>
        <v>13746.888000000004</v>
      </c>
      <c r="P39" s="20">
        <f>SUM(P27:P38)</f>
        <v>68734.440000000017</v>
      </c>
      <c r="R39" s="20">
        <f>SUM(Q27:R32)</f>
        <v>449.55599999999959</v>
      </c>
      <c r="S39" s="20">
        <f>SUM(S27:S38)</f>
        <v>26194.400539999995</v>
      </c>
    </row>
    <row r="40" spans="1:19" s="20" customFormat="1" ht="31.5" hidden="1" customHeight="1" x14ac:dyDescent="0.25">
      <c r="A40" s="75"/>
      <c r="L40" s="20">
        <f>L39*P19</f>
        <v>76235051.397780001</v>
      </c>
      <c r="R40" s="20">
        <f>SUM(Q33:R38)</f>
        <v>-303.44400000000041</v>
      </c>
    </row>
    <row r="41" spans="1:19" hidden="1" x14ac:dyDescent="0.25"/>
    <row r="42" spans="1:19" ht="31.5" customHeight="1" x14ac:dyDescent="0.25">
      <c r="A42" s="57">
        <v>45658</v>
      </c>
      <c r="B42" s="58">
        <v>4196.2</v>
      </c>
      <c r="C42" s="58">
        <v>1450.1</v>
      </c>
      <c r="D42" s="59" t="s">
        <v>50</v>
      </c>
      <c r="E42" s="58" t="s">
        <v>23</v>
      </c>
      <c r="F42" s="60">
        <v>9841</v>
      </c>
      <c r="G42" s="60">
        <f>9214+242+89</f>
        <v>9545</v>
      </c>
      <c r="H42" s="60">
        <f>158+14+15+15</f>
        <v>202</v>
      </c>
      <c r="I42" s="60">
        <f t="shared" ref="I42:I52" si="11">F42-(G42+H42)</f>
        <v>94</v>
      </c>
      <c r="J42" s="61">
        <f>I42</f>
        <v>94</v>
      </c>
      <c r="K42" s="93" t="s">
        <v>103</v>
      </c>
      <c r="L42" s="62">
        <f t="shared" ref="L42:L48" si="12">IF(J42&lt;0,0,I42)</f>
        <v>94</v>
      </c>
      <c r="M42" s="63"/>
      <c r="N42" s="63"/>
      <c r="O42" s="69">
        <v>1145.5740000000001</v>
      </c>
      <c r="P42" s="65">
        <f>O42*R2</f>
        <v>5968.4405400000005</v>
      </c>
      <c r="Q42" s="66">
        <f>L42-O42</f>
        <v>-1051.5740000000001</v>
      </c>
      <c r="R42" s="66"/>
      <c r="S42" s="92">
        <f>Q42*R2</f>
        <v>-5478.7005400000007</v>
      </c>
    </row>
    <row r="43" spans="1:19" ht="31.5" customHeight="1" x14ac:dyDescent="0.25">
      <c r="A43" s="57">
        <v>45689</v>
      </c>
      <c r="B43" s="58">
        <v>4196.2</v>
      </c>
      <c r="C43" s="58">
        <v>1450.1</v>
      </c>
      <c r="D43" s="59" t="s">
        <v>50</v>
      </c>
      <c r="E43" s="58" t="s">
        <v>23</v>
      </c>
      <c r="F43" s="60">
        <v>11301</v>
      </c>
      <c r="G43" s="60">
        <f>9043+254+89</f>
        <v>9386</v>
      </c>
      <c r="H43" s="60">
        <f>149+14+15+15</f>
        <v>193</v>
      </c>
      <c r="I43" s="60">
        <f t="shared" si="11"/>
        <v>1722</v>
      </c>
      <c r="J43" s="61">
        <f t="shared" ref="J43" si="13">I43</f>
        <v>1722</v>
      </c>
      <c r="K43" s="93" t="s">
        <v>104</v>
      </c>
      <c r="L43" s="62">
        <f t="shared" si="12"/>
        <v>1722</v>
      </c>
      <c r="M43" s="63"/>
      <c r="N43" s="63"/>
      <c r="O43" s="69">
        <v>1145.5740000000001</v>
      </c>
      <c r="P43" s="65">
        <f>O43*R2</f>
        <v>5968.4405400000005</v>
      </c>
      <c r="Q43" s="66"/>
      <c r="R43" s="66">
        <f>L43-O43</f>
        <v>576.42599999999993</v>
      </c>
      <c r="S43" s="92">
        <f>R43*R2</f>
        <v>3003.1794599999998</v>
      </c>
    </row>
    <row r="44" spans="1:19" ht="31.5" customHeight="1" x14ac:dyDescent="0.25">
      <c r="A44" s="57">
        <v>45717</v>
      </c>
      <c r="B44" s="58">
        <v>4196.2</v>
      </c>
      <c r="C44" s="58">
        <v>1450.1</v>
      </c>
      <c r="D44" s="59" t="s">
        <v>50</v>
      </c>
      <c r="E44" s="58" t="s">
        <v>23</v>
      </c>
      <c r="F44" s="60">
        <v>9137</v>
      </c>
      <c r="G44" s="60">
        <f>8174+239+75</f>
        <v>8488</v>
      </c>
      <c r="H44" s="60">
        <f>158+14+15+15</f>
        <v>202</v>
      </c>
      <c r="I44" s="60">
        <f t="shared" si="11"/>
        <v>447</v>
      </c>
      <c r="J44" s="61">
        <f>I44</f>
        <v>447</v>
      </c>
      <c r="K44" s="93" t="s">
        <v>105</v>
      </c>
      <c r="L44" s="62">
        <f t="shared" si="12"/>
        <v>447</v>
      </c>
      <c r="M44" s="63"/>
      <c r="N44" s="63"/>
      <c r="O44" s="69">
        <v>1145.5740000000001</v>
      </c>
      <c r="P44" s="65">
        <f>O44*R2</f>
        <v>5968.4405400000005</v>
      </c>
      <c r="Q44" s="66">
        <f>L44-O44</f>
        <v>-698.57400000000007</v>
      </c>
      <c r="R44" s="66"/>
      <c r="S44" s="92">
        <f>Q44*R2</f>
        <v>-3639.5705400000002</v>
      </c>
    </row>
    <row r="45" spans="1:19" ht="31.5" customHeight="1" x14ac:dyDescent="0.25">
      <c r="A45" s="57">
        <v>45748</v>
      </c>
      <c r="B45" s="58">
        <v>4196.2</v>
      </c>
      <c r="C45" s="58">
        <v>1450.1</v>
      </c>
      <c r="D45" s="59" t="s">
        <v>50</v>
      </c>
      <c r="E45" s="58" t="s">
        <v>23</v>
      </c>
      <c r="F45" s="60">
        <v>9578</v>
      </c>
      <c r="G45" s="60">
        <f>8965+211+113</f>
        <v>9289</v>
      </c>
      <c r="H45" s="60">
        <f>157+14+15+15</f>
        <v>201</v>
      </c>
      <c r="I45" s="60">
        <f t="shared" si="11"/>
        <v>88</v>
      </c>
      <c r="J45" s="61">
        <f>I45</f>
        <v>88</v>
      </c>
      <c r="K45" s="93" t="s">
        <v>106</v>
      </c>
      <c r="L45" s="62">
        <f t="shared" si="12"/>
        <v>88</v>
      </c>
      <c r="M45" s="63"/>
      <c r="N45" s="63"/>
      <c r="O45" s="69">
        <v>1145.5740000000001</v>
      </c>
      <c r="P45" s="65">
        <f>O45*R2</f>
        <v>5968.4405400000005</v>
      </c>
      <c r="Q45" s="66">
        <f>L45-O45</f>
        <v>-1057.5740000000001</v>
      </c>
      <c r="R45" s="66"/>
      <c r="S45" s="92">
        <f>Q45*R2</f>
        <v>-5509.96054</v>
      </c>
    </row>
    <row r="46" spans="1:19" ht="31.5" customHeight="1" x14ac:dyDescent="0.25">
      <c r="A46" s="57">
        <v>45778</v>
      </c>
      <c r="B46" s="58">
        <v>4196.2</v>
      </c>
      <c r="C46" s="58">
        <v>1450.1</v>
      </c>
      <c r="D46" s="59" t="s">
        <v>50</v>
      </c>
      <c r="E46" s="58" t="s">
        <v>23</v>
      </c>
      <c r="F46" s="60">
        <v>9235</v>
      </c>
      <c r="G46" s="60">
        <f>6791+336+69</f>
        <v>7196</v>
      </c>
      <c r="H46" s="60">
        <f>144+14+15+15+17</f>
        <v>205</v>
      </c>
      <c r="I46" s="60">
        <f t="shared" si="11"/>
        <v>1834</v>
      </c>
      <c r="J46" s="61">
        <f>I46</f>
        <v>1834</v>
      </c>
      <c r="K46" s="93" t="s">
        <v>107</v>
      </c>
      <c r="L46" s="62">
        <f t="shared" si="12"/>
        <v>1834</v>
      </c>
      <c r="M46" s="63"/>
      <c r="N46" s="63"/>
      <c r="O46" s="69">
        <v>1145.5740000000001</v>
      </c>
      <c r="P46" s="65">
        <f>O46*R2</f>
        <v>5968.4405400000005</v>
      </c>
      <c r="Q46" s="66"/>
      <c r="R46" s="66">
        <f>L46-O46</f>
        <v>688.42599999999993</v>
      </c>
      <c r="S46" s="92">
        <f>R46*R2</f>
        <v>3586.6994599999998</v>
      </c>
    </row>
    <row r="47" spans="1:19" ht="31.5" customHeight="1" x14ac:dyDescent="0.25">
      <c r="A47" s="57">
        <v>45809</v>
      </c>
      <c r="B47" s="58">
        <v>4196.2</v>
      </c>
      <c r="C47" s="58">
        <v>1450.1</v>
      </c>
      <c r="D47" s="59" t="s">
        <v>50</v>
      </c>
      <c r="E47" s="58" t="s">
        <v>23</v>
      </c>
      <c r="F47" s="60">
        <v>9330</v>
      </c>
      <c r="G47" s="60">
        <f>8726+254+80</f>
        <v>9060</v>
      </c>
      <c r="H47" s="60">
        <f>98+14+15+15+17</f>
        <v>159</v>
      </c>
      <c r="I47" s="60">
        <f t="shared" si="11"/>
        <v>111</v>
      </c>
      <c r="J47" s="61">
        <f>I47</f>
        <v>111</v>
      </c>
      <c r="K47" s="93" t="s">
        <v>108</v>
      </c>
      <c r="L47" s="62">
        <f t="shared" si="12"/>
        <v>111</v>
      </c>
      <c r="M47" s="63"/>
      <c r="N47" s="63"/>
      <c r="O47" s="69">
        <v>1145.5740000000001</v>
      </c>
      <c r="P47" s="65">
        <f>O47*R2</f>
        <v>5968.4405400000005</v>
      </c>
      <c r="Q47" s="66">
        <f t="shared" ref="Q47:Q49" si="14">L47-O47</f>
        <v>-1034.5740000000001</v>
      </c>
      <c r="R47" s="66"/>
      <c r="S47" s="92">
        <f>Q47*R2</f>
        <v>-5390.1305400000001</v>
      </c>
    </row>
    <row r="48" spans="1:19" ht="31.5" customHeight="1" x14ac:dyDescent="0.25">
      <c r="A48" s="57">
        <v>45839</v>
      </c>
      <c r="B48" s="58">
        <v>4196.2</v>
      </c>
      <c r="C48" s="58">
        <v>1450.1</v>
      </c>
      <c r="D48" s="59" t="s">
        <v>50</v>
      </c>
      <c r="E48" s="58" t="s">
        <v>23</v>
      </c>
      <c r="F48" s="60">
        <v>8931</v>
      </c>
      <c r="G48" s="60">
        <f>7379+269+95</f>
        <v>7743</v>
      </c>
      <c r="H48" s="60">
        <f>273+14+15+15+17</f>
        <v>334</v>
      </c>
      <c r="I48" s="60">
        <f t="shared" si="11"/>
        <v>854</v>
      </c>
      <c r="J48" s="61">
        <f t="shared" ref="J48" si="15">I48</f>
        <v>854</v>
      </c>
      <c r="K48" s="93" t="s">
        <v>109</v>
      </c>
      <c r="L48" s="62">
        <f t="shared" si="12"/>
        <v>854</v>
      </c>
      <c r="M48" s="63"/>
      <c r="N48" s="63"/>
      <c r="O48" s="69">
        <v>1145.5740000000001</v>
      </c>
      <c r="P48" s="65">
        <f>O48*R3</f>
        <v>6713.0636400000012</v>
      </c>
      <c r="Q48" s="66">
        <f t="shared" si="14"/>
        <v>-291.57400000000007</v>
      </c>
      <c r="R48" s="66"/>
      <c r="S48" s="92">
        <f>Q48*R3</f>
        <v>-1708.6236400000005</v>
      </c>
    </row>
    <row r="49" spans="1:19" ht="31.5" customHeight="1" x14ac:dyDescent="0.25">
      <c r="A49" s="57">
        <v>45870</v>
      </c>
      <c r="B49" s="58">
        <v>4196.2</v>
      </c>
      <c r="C49" s="58">
        <v>1450.1</v>
      </c>
      <c r="D49" s="59" t="s">
        <v>50</v>
      </c>
      <c r="E49" s="58" t="s">
        <v>23</v>
      </c>
      <c r="F49" s="60">
        <v>9403</v>
      </c>
      <c r="G49" s="60">
        <f>8829+203+77</f>
        <v>9109</v>
      </c>
      <c r="H49" s="60">
        <f>126+14+15+15+17</f>
        <v>187</v>
      </c>
      <c r="I49" s="60">
        <f t="shared" si="11"/>
        <v>107</v>
      </c>
      <c r="J49" s="61">
        <f>I49</f>
        <v>107</v>
      </c>
      <c r="K49" s="93" t="s">
        <v>113</v>
      </c>
      <c r="L49" s="62">
        <f>IF(J49&lt;0,0,I49)</f>
        <v>107</v>
      </c>
      <c r="M49" s="63"/>
      <c r="N49" s="63"/>
      <c r="O49" s="69">
        <v>1145.5740000000001</v>
      </c>
      <c r="P49" s="65">
        <f>O49*R3</f>
        <v>6713.0636400000012</v>
      </c>
      <c r="Q49" s="66">
        <f t="shared" si="14"/>
        <v>-1038.5740000000001</v>
      </c>
      <c r="R49" s="66"/>
      <c r="S49" s="92">
        <f>Q49*R3</f>
        <v>-6086.0436400000008</v>
      </c>
    </row>
    <row r="50" spans="1:19" ht="31.5" customHeight="1" x14ac:dyDescent="0.25">
      <c r="A50" s="57">
        <v>45901</v>
      </c>
      <c r="B50" s="58">
        <v>4196.2</v>
      </c>
      <c r="C50" s="58">
        <v>1450.1</v>
      </c>
      <c r="D50" s="59" t="s">
        <v>50</v>
      </c>
      <c r="E50" s="58" t="s">
        <v>23</v>
      </c>
      <c r="F50" s="60">
        <v>10726</v>
      </c>
      <c r="G50" s="60">
        <f>8601+200+80</f>
        <v>8881</v>
      </c>
      <c r="H50" s="60">
        <f>130+14+15+15+17</f>
        <v>191</v>
      </c>
      <c r="I50" s="60">
        <f t="shared" si="11"/>
        <v>1654</v>
      </c>
      <c r="J50" s="61">
        <f t="shared" ref="J50:J53" si="16">I50</f>
        <v>1654</v>
      </c>
      <c r="K50" s="93" t="s">
        <v>110</v>
      </c>
      <c r="L50" s="62">
        <f t="shared" ref="L50:L52" si="17">IF(J50&lt;0,0,I50)</f>
        <v>1654</v>
      </c>
      <c r="M50" s="63"/>
      <c r="N50" s="63"/>
      <c r="O50" s="69">
        <v>1145.5740000000001</v>
      </c>
      <c r="P50" s="65">
        <f>O50*R3</f>
        <v>6713.0636400000012</v>
      </c>
      <c r="Q50" s="66"/>
      <c r="R50" s="66">
        <f>L50-O50</f>
        <v>508.42599999999993</v>
      </c>
      <c r="S50" s="92">
        <f>R50*R3</f>
        <v>2979.3763599999997</v>
      </c>
    </row>
    <row r="51" spans="1:19" ht="31.5" customHeight="1" x14ac:dyDescent="0.25">
      <c r="A51" s="57">
        <v>45931</v>
      </c>
      <c r="B51" s="58">
        <v>4196.2</v>
      </c>
      <c r="C51" s="58">
        <v>1450.1</v>
      </c>
      <c r="D51" s="59" t="s">
        <v>50</v>
      </c>
      <c r="E51" s="58" t="s">
        <v>23</v>
      </c>
      <c r="F51" s="60">
        <v>10640</v>
      </c>
      <c r="G51" s="60">
        <f>7936+200+65</f>
        <v>8201</v>
      </c>
      <c r="H51" s="60">
        <f>283+14+15+15+17</f>
        <v>344</v>
      </c>
      <c r="I51" s="60">
        <f t="shared" si="11"/>
        <v>2095</v>
      </c>
      <c r="J51" s="61">
        <f t="shared" si="16"/>
        <v>2095</v>
      </c>
      <c r="K51" s="93" t="s">
        <v>111</v>
      </c>
      <c r="L51" s="62">
        <f t="shared" si="17"/>
        <v>2095</v>
      </c>
      <c r="M51" s="63"/>
      <c r="N51" s="63"/>
      <c r="O51" s="69">
        <v>1145.5740000000001</v>
      </c>
      <c r="P51" s="65">
        <f>O51*R3</f>
        <v>6713.0636400000012</v>
      </c>
      <c r="Q51" s="66"/>
      <c r="R51" s="66">
        <f>L51-O51</f>
        <v>949.42599999999993</v>
      </c>
      <c r="S51" s="92">
        <f>R51*R3</f>
        <v>5563.6363599999995</v>
      </c>
    </row>
    <row r="52" spans="1:19" ht="31.5" customHeight="1" x14ac:dyDescent="0.25">
      <c r="A52" s="57">
        <v>45962</v>
      </c>
      <c r="B52" s="58">
        <v>4196.2</v>
      </c>
      <c r="C52" s="58">
        <v>1450.1</v>
      </c>
      <c r="D52" s="59" t="s">
        <v>50</v>
      </c>
      <c r="E52" s="58" t="s">
        <v>23</v>
      </c>
      <c r="F52" s="60">
        <v>10813</v>
      </c>
      <c r="G52" s="60">
        <f>8843+211+68</f>
        <v>9122</v>
      </c>
      <c r="H52" s="60">
        <f>143+14+15+15+17</f>
        <v>204</v>
      </c>
      <c r="I52" s="60">
        <f t="shared" si="11"/>
        <v>1487</v>
      </c>
      <c r="J52" s="61">
        <f t="shared" si="16"/>
        <v>1487</v>
      </c>
      <c r="K52" s="93" t="s">
        <v>114</v>
      </c>
      <c r="L52" s="62">
        <f t="shared" si="17"/>
        <v>1487</v>
      </c>
      <c r="M52" s="63"/>
      <c r="N52" s="63"/>
      <c r="O52" s="69">
        <v>1145.5740000000001</v>
      </c>
      <c r="P52" s="65">
        <f>O52*R3</f>
        <v>6713.0636400000012</v>
      </c>
      <c r="Q52" s="66"/>
      <c r="R52" s="66">
        <f>L52-O52</f>
        <v>341.42599999999993</v>
      </c>
      <c r="S52" s="92">
        <f>R52*R3</f>
        <v>2000.7563599999996</v>
      </c>
    </row>
    <row r="53" spans="1:19" ht="31.5" customHeight="1" x14ac:dyDescent="0.25">
      <c r="A53" s="57">
        <v>45992</v>
      </c>
      <c r="B53" s="58">
        <v>4196.2</v>
      </c>
      <c r="C53" s="58">
        <v>1450.1</v>
      </c>
      <c r="D53" s="59" t="s">
        <v>50</v>
      </c>
      <c r="E53" s="58" t="s">
        <v>23</v>
      </c>
      <c r="F53" s="60">
        <v>9554</v>
      </c>
      <c r="G53" s="60">
        <f>9454+202+67</f>
        <v>9723</v>
      </c>
      <c r="H53" s="60">
        <f>159+14+15+15+17</f>
        <v>220</v>
      </c>
      <c r="I53" s="60">
        <f>F53-(G53+H53)</f>
        <v>-389</v>
      </c>
      <c r="J53" s="61">
        <f t="shared" si="16"/>
        <v>-389</v>
      </c>
      <c r="K53" s="81" t="s">
        <v>112</v>
      </c>
      <c r="L53" s="62">
        <f>IF(J53&lt;0,0,I53)</f>
        <v>0</v>
      </c>
      <c r="M53" s="63"/>
      <c r="N53" s="63"/>
      <c r="O53" s="69">
        <v>1145.5740000000001</v>
      </c>
      <c r="P53" s="65">
        <f>O53*R3</f>
        <v>6713.0636400000012</v>
      </c>
      <c r="Q53" s="66">
        <f t="shared" ref="Q53" si="18">L53-O53</f>
        <v>-1145.5740000000001</v>
      </c>
      <c r="R53" s="66"/>
      <c r="S53" s="92">
        <f>Q53*R3</f>
        <v>-6713.0636400000012</v>
      </c>
    </row>
    <row r="54" spans="1:19" s="20" customFormat="1" ht="31.5" customHeight="1" x14ac:dyDescent="0.25">
      <c r="A54" s="75"/>
      <c r="L54" s="20">
        <f>SUM(L42:L53)</f>
        <v>10493</v>
      </c>
      <c r="O54" s="20">
        <f>SUM(O42:O53)</f>
        <v>13746.888000000004</v>
      </c>
      <c r="P54" s="20">
        <f>SUM(P42:P53)</f>
        <v>76089.025080000021</v>
      </c>
      <c r="Q54" s="95" t="s">
        <v>116</v>
      </c>
      <c r="R54" s="95">
        <f>SUM(Q42:R47)</f>
        <v>-2577.4440000000004</v>
      </c>
      <c r="S54" s="96">
        <f>SUM(S42:S47)</f>
        <v>-13428.483240000001</v>
      </c>
    </row>
    <row r="55" spans="1:19" s="20" customFormat="1" ht="31.5" customHeight="1" x14ac:dyDescent="0.25">
      <c r="A55" s="75"/>
      <c r="Q55" s="97" t="s">
        <v>117</v>
      </c>
      <c r="R55" s="95">
        <f>SUM(Q48:R53)</f>
        <v>-676.44400000000041</v>
      </c>
      <c r="S55" s="96">
        <f>SUM(S48:S53)</f>
        <v>-3963.9618400000036</v>
      </c>
    </row>
    <row r="56" spans="1:19" x14ac:dyDescent="0.25">
      <c r="K56" s="90"/>
      <c r="Q56" s="97"/>
      <c r="R56" s="97"/>
      <c r="S56" s="97"/>
    </row>
    <row r="57" spans="1:19" x14ac:dyDescent="0.25">
      <c r="K57" s="90"/>
      <c r="Q57" s="97"/>
      <c r="R57" s="95">
        <f>R54+R55</f>
        <v>-3253.8880000000008</v>
      </c>
      <c r="S57" s="96">
        <f>S54+S55</f>
        <v>-17392.445080000005</v>
      </c>
    </row>
    <row r="58" spans="1:19" x14ac:dyDescent="0.25">
      <c r="K58" s="90"/>
    </row>
    <row r="59" spans="1:19" x14ac:dyDescent="0.25">
      <c r="K59" s="90"/>
      <c r="S59">
        <v>0</v>
      </c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1" x14ac:dyDescent="0.25">
      <c r="K65" s="90"/>
    </row>
  </sheetData>
  <sheetProtection algorithmName="SHA-512" hashValue="piHirIBMYyjgkdqlTPxXOL5J5r3AHhCtrUhCeMvAkIrG72+jhK4Qc1hbuaAp59G8mMVSwfMjL2IWoneYDWY+eg==" saltValue="tS8lbg8EoDG2N6J9uwSbDA==" spinCount="100000" sheet="1" objects="1" scenarios="1" selectLockedCells="1" selectUnlockedCells="1"/>
  <mergeCells count="23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P2:P3"/>
    <mergeCell ref="S4:S5"/>
    <mergeCell ref="M4:M5"/>
    <mergeCell ref="G2:K2"/>
    <mergeCell ref="G3:K3"/>
    <mergeCell ref="J4:J5"/>
    <mergeCell ref="N4:N5"/>
    <mergeCell ref="S2:S3"/>
  </mergeCells>
  <pageMargins left="0.25" right="0.25" top="0.75" bottom="0.75" header="0.3" footer="0.3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zoomScale="78" zoomScaleNormal="78" workbookViewId="0">
      <selection activeCell="S12" sqref="S12"/>
    </sheetView>
  </sheetViews>
  <sheetFormatPr defaultRowHeight="15" x14ac:dyDescent="0.25"/>
  <cols>
    <col min="1" max="1" width="9.5703125" style="89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99</v>
      </c>
      <c r="B2" s="126"/>
      <c r="C2" s="126"/>
      <c r="D2" s="126"/>
      <c r="G2" s="124"/>
      <c r="H2" s="124"/>
      <c r="I2" s="124"/>
      <c r="J2" s="124"/>
      <c r="K2" s="124"/>
      <c r="L2" s="12"/>
      <c r="M2" s="13"/>
      <c r="N2" s="28"/>
      <c r="O2" s="28"/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/>
      <c r="H3" s="124"/>
      <c r="I3" s="124"/>
      <c r="J3" s="124"/>
      <c r="K3" s="124"/>
      <c r="L3" s="12"/>
      <c r="M3" s="13"/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88" t="s">
        <v>1</v>
      </c>
      <c r="L5" s="88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1.5" customHeight="1" x14ac:dyDescent="0.25">
      <c r="A7" s="57">
        <v>45717</v>
      </c>
      <c r="B7" s="58">
        <v>2556.4</v>
      </c>
      <c r="C7" s="58">
        <v>1610.6</v>
      </c>
      <c r="D7" s="59" t="s">
        <v>115</v>
      </c>
      <c r="E7" s="58" t="s">
        <v>23</v>
      </c>
      <c r="F7" s="60">
        <v>6011</v>
      </c>
      <c r="G7" s="60">
        <f>2958+2095+604</f>
        <v>5657</v>
      </c>
      <c r="H7" s="60">
        <f>5+15+11</f>
        <v>31</v>
      </c>
      <c r="I7" s="60">
        <f t="shared" ref="I7" si="0">F7-(G7+H7)</f>
        <v>323</v>
      </c>
      <c r="J7" s="61">
        <f t="shared" ref="J7" si="1">I7</f>
        <v>323</v>
      </c>
      <c r="K7" s="93" t="s">
        <v>104</v>
      </c>
      <c r="L7" s="62">
        <f t="shared" ref="L7" si="2">IF(J7&lt;0,0,I7)</f>
        <v>323</v>
      </c>
      <c r="M7" s="63"/>
      <c r="N7" s="63"/>
      <c r="O7" s="69">
        <v>1159.6320000000001</v>
      </c>
      <c r="P7" s="65">
        <f>O7*R2</f>
        <v>6041.6827200000007</v>
      </c>
      <c r="Q7" s="66">
        <f>L7-O7</f>
        <v>-836.63200000000006</v>
      </c>
      <c r="R7" s="66"/>
      <c r="S7" s="92">
        <f>Q7*R2</f>
        <v>-4358.8527199999999</v>
      </c>
    </row>
    <row r="8" spans="1:19" ht="31.5" customHeight="1" x14ac:dyDescent="0.25">
      <c r="A8" s="57">
        <v>45748</v>
      </c>
      <c r="B8" s="58">
        <v>2556.4</v>
      </c>
      <c r="C8" s="58">
        <v>1610.6</v>
      </c>
      <c r="D8" s="59" t="s">
        <v>115</v>
      </c>
      <c r="E8" s="58" t="s">
        <v>23</v>
      </c>
      <c r="F8" s="60">
        <v>7265</v>
      </c>
      <c r="G8" s="60">
        <f>2819+2355+675</f>
        <v>5849</v>
      </c>
      <c r="H8" s="60">
        <f>5+15+10</f>
        <v>30</v>
      </c>
      <c r="I8" s="60">
        <f t="shared" ref="I8" si="3">F8-(G8+H8)</f>
        <v>1386</v>
      </c>
      <c r="J8" s="61">
        <f t="shared" ref="J8" si="4">I8</f>
        <v>1386</v>
      </c>
      <c r="K8" s="93" t="s">
        <v>105</v>
      </c>
      <c r="L8" s="62">
        <f t="shared" ref="L8" si="5">IF(J8&lt;0,0,I8)</f>
        <v>1386</v>
      </c>
      <c r="M8" s="63"/>
      <c r="N8" s="63"/>
      <c r="O8" s="69">
        <v>1159.6320000000001</v>
      </c>
      <c r="P8" s="65">
        <f>O8*R2</f>
        <v>6041.6827200000007</v>
      </c>
      <c r="Q8" s="66"/>
      <c r="R8" s="66">
        <f>L8-O8</f>
        <v>226.36799999999994</v>
      </c>
      <c r="S8" s="92">
        <f>R8*R2</f>
        <v>1179.3772799999997</v>
      </c>
    </row>
    <row r="9" spans="1:19" ht="31.5" customHeight="1" x14ac:dyDescent="0.25">
      <c r="A9" s="57">
        <v>45778</v>
      </c>
      <c r="B9" s="58">
        <v>2556.4</v>
      </c>
      <c r="C9" s="58">
        <v>1610.6</v>
      </c>
      <c r="D9" s="59" t="s">
        <v>115</v>
      </c>
      <c r="E9" s="58" t="s">
        <v>23</v>
      </c>
      <c r="F9" s="60">
        <f>6448</f>
        <v>6448</v>
      </c>
      <c r="G9" s="60">
        <f>2683+2411+681</f>
        <v>5775</v>
      </c>
      <c r="H9" s="60">
        <f>5+15+11</f>
        <v>31</v>
      </c>
      <c r="I9" s="60">
        <f t="shared" ref="I9" si="6">F9-(G9+H9)</f>
        <v>642</v>
      </c>
      <c r="J9" s="61">
        <f t="shared" ref="J9" si="7">I9</f>
        <v>642</v>
      </c>
      <c r="K9" s="93" t="s">
        <v>106</v>
      </c>
      <c r="L9" s="62">
        <f t="shared" ref="L9" si="8">IF(J9&lt;0,0,I9)</f>
        <v>642</v>
      </c>
      <c r="M9" s="63"/>
      <c r="N9" s="63"/>
      <c r="O9" s="69">
        <v>1159.6320000000001</v>
      </c>
      <c r="P9" s="65">
        <f>O9*R2</f>
        <v>6041.6827200000007</v>
      </c>
      <c r="Q9" s="66">
        <f>L9-O9</f>
        <v>-517.63200000000006</v>
      </c>
      <c r="R9" s="66"/>
      <c r="S9" s="92">
        <f>Q9*R2</f>
        <v>-2696.8627200000001</v>
      </c>
    </row>
    <row r="10" spans="1:19" ht="31.5" customHeight="1" x14ac:dyDescent="0.25">
      <c r="A10" s="57">
        <v>45809</v>
      </c>
      <c r="B10" s="58">
        <v>2556.4</v>
      </c>
      <c r="C10" s="58">
        <v>1610.6</v>
      </c>
      <c r="D10" s="59" t="s">
        <v>115</v>
      </c>
      <c r="E10" s="58" t="s">
        <v>23</v>
      </c>
      <c r="F10" s="60">
        <v>6275</v>
      </c>
      <c r="G10" s="60">
        <f>2267+2096+619</f>
        <v>4982</v>
      </c>
      <c r="H10" s="60">
        <f>5+15+10</f>
        <v>30</v>
      </c>
      <c r="I10" s="60">
        <f t="shared" ref="I10" si="9">F10-(G10+H10)</f>
        <v>1263</v>
      </c>
      <c r="J10" s="61">
        <f t="shared" ref="J10" si="10">I10</f>
        <v>1263</v>
      </c>
      <c r="K10" s="93" t="s">
        <v>107</v>
      </c>
      <c r="L10" s="62">
        <f t="shared" ref="L10" si="11">IF(J10&lt;0,0,I10)</f>
        <v>1263</v>
      </c>
      <c r="M10" s="63"/>
      <c r="N10" s="63"/>
      <c r="O10" s="69">
        <v>1159.6320000000001</v>
      </c>
      <c r="P10" s="65">
        <f>O10*R2</f>
        <v>6041.6827200000007</v>
      </c>
      <c r="Q10" s="66"/>
      <c r="R10" s="66">
        <f>L10-O10</f>
        <v>103.36799999999994</v>
      </c>
      <c r="S10" s="92">
        <f>R10*R2</f>
        <v>538.54727999999966</v>
      </c>
    </row>
    <row r="11" spans="1:19" ht="31.5" customHeight="1" x14ac:dyDescent="0.25">
      <c r="A11" s="57">
        <v>45839</v>
      </c>
      <c r="B11" s="58">
        <v>2556.4</v>
      </c>
      <c r="C11" s="58">
        <v>1610.6</v>
      </c>
      <c r="D11" s="59" t="s">
        <v>115</v>
      </c>
      <c r="E11" s="58" t="s">
        <v>23</v>
      </c>
      <c r="F11" s="60">
        <f>5093+157</f>
        <v>5250</v>
      </c>
      <c r="G11" s="60">
        <f>2325+2114+655</f>
        <v>5094</v>
      </c>
      <c r="H11" s="60">
        <f>5+15+10</f>
        <v>30</v>
      </c>
      <c r="I11" s="60">
        <f t="shared" ref="I11" si="12">F11-(G11+H11)</f>
        <v>126</v>
      </c>
      <c r="J11" s="61">
        <f t="shared" ref="J11" si="13">I11</f>
        <v>126</v>
      </c>
      <c r="K11" s="93" t="s">
        <v>108</v>
      </c>
      <c r="L11" s="62">
        <f t="shared" ref="L11" si="14">IF(J11&lt;0,0,I11)</f>
        <v>126</v>
      </c>
      <c r="M11" s="63"/>
      <c r="N11" s="63"/>
      <c r="O11" s="69">
        <v>1159.6320000000001</v>
      </c>
      <c r="P11" s="65">
        <f>O11*R2</f>
        <v>6041.6827200000007</v>
      </c>
      <c r="Q11" s="66">
        <f>L11-O11</f>
        <v>-1033.6320000000001</v>
      </c>
      <c r="R11" s="66"/>
      <c r="S11" s="92">
        <f>Q11*R3</f>
        <v>-6057.083520000001</v>
      </c>
    </row>
    <row r="12" spans="1:19" ht="31.5" customHeight="1" x14ac:dyDescent="0.25">
      <c r="A12" s="57">
        <v>45870</v>
      </c>
      <c r="B12" s="58">
        <v>2556.4</v>
      </c>
      <c r="C12" s="58">
        <v>1610.6</v>
      </c>
      <c r="D12" s="59" t="s">
        <v>115</v>
      </c>
      <c r="E12" s="58" t="s">
        <v>23</v>
      </c>
      <c r="F12" s="60">
        <v>6842</v>
      </c>
      <c r="G12" s="60">
        <f>3640+2384+757</f>
        <v>6781</v>
      </c>
      <c r="H12" s="60">
        <f>5+15+10</f>
        <v>30</v>
      </c>
      <c r="I12" s="60">
        <f t="shared" ref="I12" si="15">F12-(G12+H12)</f>
        <v>31</v>
      </c>
      <c r="J12" s="61">
        <f t="shared" ref="J12" si="16">I12</f>
        <v>31</v>
      </c>
      <c r="K12" s="93" t="s">
        <v>109</v>
      </c>
      <c r="L12" s="62">
        <f t="shared" ref="L12" si="17">IF(J12&lt;0,0,I12)</f>
        <v>31</v>
      </c>
      <c r="M12" s="63"/>
      <c r="N12" s="63"/>
      <c r="O12" s="69">
        <v>1159.6320000000001</v>
      </c>
      <c r="P12" s="65">
        <f>O12*R3</f>
        <v>6795.4435200000007</v>
      </c>
      <c r="Q12" s="66">
        <f>L12-O12</f>
        <v>-1128.6320000000001</v>
      </c>
      <c r="R12" s="66"/>
      <c r="S12" s="92">
        <f>Q12*R3</f>
        <v>-6613.7835200000009</v>
      </c>
    </row>
    <row r="13" spans="1:19" ht="31.5" customHeight="1" x14ac:dyDescent="0.25">
      <c r="A13" s="57">
        <v>45901</v>
      </c>
      <c r="B13" s="58">
        <v>2556.4</v>
      </c>
      <c r="C13" s="58">
        <v>1610.6</v>
      </c>
      <c r="D13" s="59" t="s">
        <v>115</v>
      </c>
      <c r="E13" s="58" t="s">
        <v>23</v>
      </c>
      <c r="F13" s="60">
        <v>7300</v>
      </c>
      <c r="G13" s="60">
        <f>2364+2579+733</f>
        <v>5676</v>
      </c>
      <c r="H13" s="60">
        <f>5+10+15</f>
        <v>30</v>
      </c>
      <c r="I13" s="60">
        <f t="shared" ref="I13" si="18">F13-(G13+H13)</f>
        <v>1594</v>
      </c>
      <c r="J13" s="61">
        <f t="shared" ref="J13:J16" si="19">I13</f>
        <v>1594</v>
      </c>
      <c r="K13" s="93" t="s">
        <v>113</v>
      </c>
      <c r="L13" s="62">
        <f t="shared" ref="L13:L16" si="20">IF(J13&lt;0,0,I13)</f>
        <v>1594</v>
      </c>
      <c r="M13" s="63"/>
      <c r="N13" s="63"/>
      <c r="O13" s="69">
        <v>1159.6320000000001</v>
      </c>
      <c r="P13" s="65">
        <f>O13*R3</f>
        <v>6795.4435200000007</v>
      </c>
      <c r="Q13" s="66"/>
      <c r="R13" s="66">
        <f>L13-O13</f>
        <v>434.36799999999994</v>
      </c>
      <c r="S13" s="92">
        <f>R13*R3</f>
        <v>2545.3964799999999</v>
      </c>
    </row>
    <row r="14" spans="1:19" ht="31.5" customHeight="1" x14ac:dyDescent="0.25">
      <c r="A14" s="57">
        <v>45931</v>
      </c>
      <c r="B14" s="58">
        <v>2556.4</v>
      </c>
      <c r="C14" s="58">
        <v>1610.6</v>
      </c>
      <c r="D14" s="59" t="s">
        <v>115</v>
      </c>
      <c r="E14" s="58" t="s">
        <v>23</v>
      </c>
      <c r="F14" s="60">
        <v>6631</v>
      </c>
      <c r="G14" s="60">
        <f>2840+2164+625</f>
        <v>5629</v>
      </c>
      <c r="H14" s="60">
        <f>5+15+10</f>
        <v>30</v>
      </c>
      <c r="I14" s="60">
        <f>F14-(G14+H14)</f>
        <v>972</v>
      </c>
      <c r="J14" s="61">
        <f t="shared" si="19"/>
        <v>972</v>
      </c>
      <c r="K14" s="93" t="s">
        <v>110</v>
      </c>
      <c r="L14" s="62">
        <f t="shared" si="20"/>
        <v>972</v>
      </c>
      <c r="M14" s="63"/>
      <c r="N14" s="63"/>
      <c r="O14" s="69">
        <v>1159.6320000000001</v>
      </c>
      <c r="P14" s="65">
        <f>O14*R3</f>
        <v>6795.4435200000007</v>
      </c>
      <c r="Q14" s="66">
        <f>L14-O14</f>
        <v>-187.63200000000006</v>
      </c>
      <c r="R14" s="66"/>
      <c r="S14" s="92">
        <f>Q14*R3</f>
        <v>-1099.5235200000004</v>
      </c>
    </row>
    <row r="15" spans="1:19" ht="31.5" customHeight="1" x14ac:dyDescent="0.25">
      <c r="A15" s="57">
        <v>45962</v>
      </c>
      <c r="B15" s="58">
        <v>2556.4</v>
      </c>
      <c r="C15" s="58">
        <v>1610.6</v>
      </c>
      <c r="D15" s="59" t="s">
        <v>115</v>
      </c>
      <c r="E15" s="58" t="s">
        <v>23</v>
      </c>
      <c r="F15" s="60">
        <v>7286</v>
      </c>
      <c r="G15" s="60">
        <f>3179+2253+634</f>
        <v>6066</v>
      </c>
      <c r="H15" s="60">
        <f>5+10+15</f>
        <v>30</v>
      </c>
      <c r="I15" s="60">
        <f t="shared" ref="I15:I16" si="21">F15-(G15+H15)</f>
        <v>1190</v>
      </c>
      <c r="J15" s="61">
        <f t="shared" si="19"/>
        <v>1190</v>
      </c>
      <c r="K15" s="93" t="s">
        <v>111</v>
      </c>
      <c r="L15" s="62">
        <f t="shared" si="20"/>
        <v>1190</v>
      </c>
      <c r="M15" s="63"/>
      <c r="N15" s="63"/>
      <c r="O15" s="69">
        <v>1159.6320000000001</v>
      </c>
      <c r="P15" s="65">
        <f>O15*R3</f>
        <v>6795.4435200000007</v>
      </c>
      <c r="Q15" s="66"/>
      <c r="R15" s="66">
        <f>L15-O15</f>
        <v>30.367999999999938</v>
      </c>
      <c r="S15" s="92">
        <f>R15*R3</f>
        <v>177.95647999999966</v>
      </c>
    </row>
    <row r="16" spans="1:19" ht="31.5" customHeight="1" x14ac:dyDescent="0.25">
      <c r="A16" s="57">
        <v>45992</v>
      </c>
      <c r="B16" s="58">
        <v>2556.4</v>
      </c>
      <c r="C16" s="58">
        <v>1610.6</v>
      </c>
      <c r="D16" s="59" t="s">
        <v>115</v>
      </c>
      <c r="E16" s="58" t="s">
        <v>23</v>
      </c>
      <c r="F16" s="60">
        <v>6828</v>
      </c>
      <c r="G16" s="60">
        <f>3044+2610+709</f>
        <v>6363</v>
      </c>
      <c r="H16" s="60">
        <f>5+15+11</f>
        <v>31</v>
      </c>
      <c r="I16" s="60">
        <f t="shared" si="21"/>
        <v>434</v>
      </c>
      <c r="J16" s="61">
        <f t="shared" si="19"/>
        <v>434</v>
      </c>
      <c r="K16" s="81" t="s">
        <v>114</v>
      </c>
      <c r="L16" s="62">
        <f t="shared" si="20"/>
        <v>434</v>
      </c>
      <c r="M16" s="63"/>
      <c r="N16" s="63"/>
      <c r="O16" s="69">
        <v>1159.6320000000001</v>
      </c>
      <c r="P16" s="65">
        <f>O16*R3</f>
        <v>6795.4435200000007</v>
      </c>
      <c r="Q16" s="66">
        <f>L16-O16</f>
        <v>-725.63200000000006</v>
      </c>
      <c r="R16" s="66"/>
      <c r="S16" s="92">
        <f>Q16*R3</f>
        <v>-4252.2035200000009</v>
      </c>
    </row>
    <row r="17" spans="1:19" s="20" customFormat="1" ht="31.5" customHeight="1" x14ac:dyDescent="0.25">
      <c r="A17" s="75"/>
      <c r="L17" s="86">
        <f>SUM(L13:L15)</f>
        <v>3756</v>
      </c>
      <c r="O17" s="56">
        <f>SUM(O13:O16)</f>
        <v>4638.5280000000002</v>
      </c>
      <c r="Q17" s="95" t="s">
        <v>116</v>
      </c>
      <c r="R17" s="95">
        <f>SUM(Q7:R10)</f>
        <v>-1024.5280000000002</v>
      </c>
      <c r="S17" s="96">
        <f>SUM(S7:S10)</f>
        <v>-5337.7908800000005</v>
      </c>
    </row>
    <row r="18" spans="1:19" x14ac:dyDescent="0.25">
      <c r="K18" s="90"/>
      <c r="Q18" s="97" t="s">
        <v>117</v>
      </c>
      <c r="R18" s="95">
        <f>SUM(Q11:R16)</f>
        <v>-2610.7920000000004</v>
      </c>
      <c r="S18" s="96">
        <f>SUM(S11:S16)</f>
        <v>-15299.241120000004</v>
      </c>
    </row>
    <row r="19" spans="1:19" x14ac:dyDescent="0.25">
      <c r="K19" s="90"/>
      <c r="Q19" s="97"/>
      <c r="R19" s="97"/>
      <c r="S19" s="97"/>
    </row>
    <row r="20" spans="1:19" x14ac:dyDescent="0.25">
      <c r="K20" s="90"/>
      <c r="Q20" s="97"/>
      <c r="R20" s="97"/>
      <c r="S20" s="96">
        <f>S17+S18</f>
        <v>-20637.032000000007</v>
      </c>
    </row>
    <row r="21" spans="1:19" x14ac:dyDescent="0.25">
      <c r="K21" s="90"/>
    </row>
    <row r="22" spans="1:19" x14ac:dyDescent="0.25">
      <c r="K22" s="90"/>
    </row>
    <row r="23" spans="1:19" x14ac:dyDescent="0.25">
      <c r="K23" s="90"/>
    </row>
    <row r="24" spans="1:19" x14ac:dyDescent="0.25">
      <c r="K24" s="90"/>
    </row>
    <row r="25" spans="1:19" x14ac:dyDescent="0.25">
      <c r="K25" s="90"/>
    </row>
    <row r="26" spans="1:19" x14ac:dyDescent="0.25">
      <c r="K26" s="90"/>
    </row>
  </sheetData>
  <sheetProtection algorithmName="SHA-512" hashValue="pVmrPstu7Ucj17hRbWRDoR5t12TJ2lGxZElxLSP0jr5DoyRNT6P6FhJCdy6qVbfhB0PVmMZvuhF3CAyzgCRA7g==" saltValue="p+OemMqfqBrHFbnNiBY+DA==" spinCount="100000" sheet="1" objects="1" scenarios="1" selectLockedCells="1" selectUnlockedCells="1"/>
  <mergeCells count="23">
    <mergeCell ref="A4:A5"/>
    <mergeCell ref="B4:B5"/>
    <mergeCell ref="C4:C5"/>
    <mergeCell ref="D4:D5"/>
    <mergeCell ref="E4:E5"/>
    <mergeCell ref="A1:S1"/>
    <mergeCell ref="A2:D2"/>
    <mergeCell ref="G2:K2"/>
    <mergeCell ref="P2:P3"/>
    <mergeCell ref="G3:K3"/>
    <mergeCell ref="S2:S3"/>
    <mergeCell ref="S4:S5"/>
    <mergeCell ref="F4:F5"/>
    <mergeCell ref="G4:G5"/>
    <mergeCell ref="H4:H5"/>
    <mergeCell ref="I4:I5"/>
    <mergeCell ref="J4:J5"/>
    <mergeCell ref="K4:L4"/>
    <mergeCell ref="M4:M5"/>
    <mergeCell ref="N4:N5"/>
    <mergeCell ref="O4:O5"/>
    <mergeCell ref="P4:P5"/>
    <mergeCell ref="Q4:R4"/>
  </mergeCells>
  <pageMargins left="0.25" right="0.25" top="0.75" bottom="0.75" header="0.3" footer="0.3"/>
  <pageSetup paperSize="9" scale="4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zoomScale="70" zoomScaleNormal="70" workbookViewId="0">
      <selection activeCell="A2" sqref="A2:D2"/>
    </sheetView>
  </sheetViews>
  <sheetFormatPr defaultRowHeight="15" x14ac:dyDescent="0.25"/>
  <cols>
    <col min="1" max="1" width="13.8554687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2.28515625" customWidth="1"/>
    <col min="21" max="21" width="3.42578125" customWidth="1"/>
    <col min="22" max="22" width="4.7109375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26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20.100000000000001" hidden="1" customHeight="1" x14ac:dyDescent="0.25">
      <c r="A7" s="18">
        <v>44805</v>
      </c>
      <c r="B7" s="129">
        <v>11231.77</v>
      </c>
      <c r="C7" s="129">
        <v>3343.52</v>
      </c>
      <c r="D7" s="19" t="s">
        <v>19</v>
      </c>
      <c r="E7" s="129" t="s">
        <v>23</v>
      </c>
      <c r="F7" s="131"/>
      <c r="G7" s="131"/>
      <c r="H7" s="131"/>
      <c r="I7" s="131"/>
      <c r="J7" s="131"/>
      <c r="K7" s="133" t="s">
        <v>65</v>
      </c>
      <c r="L7" s="122">
        <v>3344</v>
      </c>
      <c r="M7" s="129"/>
      <c r="N7" s="129"/>
      <c r="O7" s="159">
        <v>3360.5079999999998</v>
      </c>
      <c r="P7" s="137">
        <f>O7*M2</f>
        <v>14786.235200000001</v>
      </c>
      <c r="Q7" s="161">
        <v>0</v>
      </c>
      <c r="R7" s="161"/>
      <c r="S7" s="143">
        <v>0</v>
      </c>
    </row>
    <row r="8" spans="1:19" ht="20.100000000000001" hidden="1" customHeight="1" x14ac:dyDescent="0.25">
      <c r="A8" s="18">
        <v>44805</v>
      </c>
      <c r="B8" s="130"/>
      <c r="C8" s="130"/>
      <c r="D8" s="19" t="s">
        <v>20</v>
      </c>
      <c r="E8" s="130"/>
      <c r="F8" s="132"/>
      <c r="G8" s="132"/>
      <c r="H8" s="132"/>
      <c r="I8" s="132"/>
      <c r="J8" s="132"/>
      <c r="K8" s="134"/>
      <c r="L8" s="123"/>
      <c r="M8" s="130"/>
      <c r="N8" s="130"/>
      <c r="O8" s="160"/>
      <c r="P8" s="138"/>
      <c r="Q8" s="162"/>
      <c r="R8" s="162"/>
      <c r="S8" s="143"/>
    </row>
    <row r="9" spans="1:19" ht="20.100000000000001" hidden="1" customHeight="1" x14ac:dyDescent="0.25">
      <c r="A9" s="18">
        <v>44835</v>
      </c>
      <c r="B9" s="129">
        <v>11231.77</v>
      </c>
      <c r="C9" s="129">
        <v>3343.52</v>
      </c>
      <c r="D9" s="19" t="s">
        <v>19</v>
      </c>
      <c r="E9" s="129" t="s">
        <v>23</v>
      </c>
      <c r="F9" s="131">
        <f>11108.8+5738</f>
        <v>16846.8</v>
      </c>
      <c r="G9" s="131">
        <f>18439+1370+334</f>
        <v>20143</v>
      </c>
      <c r="H9" s="131">
        <f>15+41+15+15+15+15</f>
        <v>116</v>
      </c>
      <c r="I9" s="131">
        <f>F9-(G9+H9)</f>
        <v>-3412.2000000000007</v>
      </c>
      <c r="J9" s="131">
        <f>I9</f>
        <v>-3412.2000000000007</v>
      </c>
      <c r="K9" s="133" t="s">
        <v>64</v>
      </c>
      <c r="L9" s="122">
        <v>0</v>
      </c>
      <c r="M9" s="139"/>
      <c r="N9" s="139"/>
      <c r="O9" s="159">
        <v>3360.5079999999998</v>
      </c>
      <c r="P9" s="137">
        <f>O9*M2</f>
        <v>14786.235200000001</v>
      </c>
      <c r="Q9" s="161">
        <f>O9</f>
        <v>3360.5079999999998</v>
      </c>
      <c r="R9" s="161"/>
      <c r="S9" s="143">
        <f>-(Q9*M2)</f>
        <v>-14786.235200000001</v>
      </c>
    </row>
    <row r="10" spans="1:19" ht="20.100000000000001" hidden="1" customHeight="1" x14ac:dyDescent="0.25">
      <c r="A10" s="18">
        <v>44835</v>
      </c>
      <c r="B10" s="130"/>
      <c r="C10" s="130"/>
      <c r="D10" s="19" t="s">
        <v>20</v>
      </c>
      <c r="E10" s="130"/>
      <c r="F10" s="132"/>
      <c r="G10" s="132"/>
      <c r="H10" s="132"/>
      <c r="I10" s="132"/>
      <c r="J10" s="132"/>
      <c r="K10" s="134"/>
      <c r="L10" s="123"/>
      <c r="M10" s="140"/>
      <c r="N10" s="140"/>
      <c r="O10" s="160"/>
      <c r="P10" s="138"/>
      <c r="Q10" s="162"/>
      <c r="R10" s="162"/>
      <c r="S10" s="143"/>
    </row>
    <row r="11" spans="1:19" ht="15.75" hidden="1" customHeight="1" x14ac:dyDescent="0.25">
      <c r="A11" s="18">
        <v>44866</v>
      </c>
      <c r="B11" s="129">
        <v>11231.77</v>
      </c>
      <c r="C11" s="129">
        <v>3343.52</v>
      </c>
      <c r="D11" s="19" t="s">
        <v>19</v>
      </c>
      <c r="E11" s="129" t="s">
        <v>23</v>
      </c>
      <c r="F11" s="131">
        <f>11954.4+10976</f>
        <v>22930.400000000001</v>
      </c>
      <c r="G11" s="131">
        <f>16527+1230+322</f>
        <v>18079</v>
      </c>
      <c r="H11" s="131">
        <f>15+41+15+15+15+15</f>
        <v>116</v>
      </c>
      <c r="I11" s="131">
        <f>F11-(G11+H11)</f>
        <v>4735.4000000000015</v>
      </c>
      <c r="J11" s="131">
        <v>1323</v>
      </c>
      <c r="K11" s="133" t="s">
        <v>66</v>
      </c>
      <c r="L11" s="122">
        <v>1323</v>
      </c>
      <c r="M11" s="129"/>
      <c r="N11" s="129"/>
      <c r="O11" s="159">
        <v>3360.5079999999998</v>
      </c>
      <c r="P11" s="137">
        <f>O11*M2</f>
        <v>14786.235200000001</v>
      </c>
      <c r="Q11" s="161">
        <f>O11-J11</f>
        <v>2037.5079999999998</v>
      </c>
      <c r="R11" s="161"/>
      <c r="S11" s="143">
        <f>-(Q11*M2)</f>
        <v>-8965.0352000000003</v>
      </c>
    </row>
    <row r="12" spans="1:19" ht="15.75" hidden="1" customHeight="1" x14ac:dyDescent="0.25">
      <c r="A12" s="18">
        <v>44866</v>
      </c>
      <c r="B12" s="130"/>
      <c r="C12" s="130"/>
      <c r="D12" s="19" t="s">
        <v>20</v>
      </c>
      <c r="E12" s="130"/>
      <c r="F12" s="132"/>
      <c r="G12" s="132"/>
      <c r="H12" s="132"/>
      <c r="I12" s="132"/>
      <c r="J12" s="132"/>
      <c r="K12" s="134"/>
      <c r="L12" s="123"/>
      <c r="M12" s="130"/>
      <c r="N12" s="130"/>
      <c r="O12" s="160"/>
      <c r="P12" s="138"/>
      <c r="Q12" s="162"/>
      <c r="R12" s="162"/>
      <c r="S12" s="143"/>
    </row>
    <row r="13" spans="1:19" ht="15.75" hidden="1" customHeight="1" x14ac:dyDescent="0.25">
      <c r="A13" s="18">
        <v>44896</v>
      </c>
      <c r="B13" s="129">
        <v>11231.77</v>
      </c>
      <c r="C13" s="129">
        <v>3343.52</v>
      </c>
      <c r="D13" s="19" t="s">
        <v>19</v>
      </c>
      <c r="E13" s="129" t="s">
        <v>23</v>
      </c>
      <c r="F13" s="131">
        <f>11854+10315</f>
        <v>22169</v>
      </c>
      <c r="G13" s="131">
        <f>18826+1112+363</f>
        <v>20301</v>
      </c>
      <c r="H13" s="131">
        <f>15+89+15+15+15+15</f>
        <v>164</v>
      </c>
      <c r="I13" s="131">
        <f>F13-(G13+H13)</f>
        <v>1704</v>
      </c>
      <c r="J13" s="131">
        <v>1704</v>
      </c>
      <c r="K13" s="133" t="s">
        <v>67</v>
      </c>
      <c r="L13" s="122">
        <v>1704</v>
      </c>
      <c r="M13" s="129"/>
      <c r="N13" s="129"/>
      <c r="O13" s="159">
        <v>3360.5079999999998</v>
      </c>
      <c r="P13" s="137">
        <f>O13*M3</f>
        <v>16096.83332</v>
      </c>
      <c r="Q13" s="161">
        <f>O13-I13</f>
        <v>1656.5079999999998</v>
      </c>
      <c r="R13" s="161"/>
      <c r="S13" s="143">
        <f>-(Q13*M3)</f>
        <v>-7934.673319999999</v>
      </c>
    </row>
    <row r="14" spans="1:19" ht="15.75" hidden="1" customHeight="1" x14ac:dyDescent="0.25">
      <c r="A14" s="18">
        <v>44896</v>
      </c>
      <c r="B14" s="130"/>
      <c r="C14" s="130"/>
      <c r="D14" s="19" t="s">
        <v>20</v>
      </c>
      <c r="E14" s="130"/>
      <c r="F14" s="132"/>
      <c r="G14" s="132"/>
      <c r="H14" s="132"/>
      <c r="I14" s="132"/>
      <c r="J14" s="132"/>
      <c r="K14" s="134"/>
      <c r="L14" s="123"/>
      <c r="M14" s="130"/>
      <c r="N14" s="130"/>
      <c r="O14" s="160"/>
      <c r="P14" s="138"/>
      <c r="Q14" s="162"/>
      <c r="R14" s="162"/>
      <c r="S14" s="143"/>
    </row>
    <row r="15" spans="1:19" ht="15.75" hidden="1" customHeight="1" x14ac:dyDescent="0.25">
      <c r="A15" s="57">
        <v>44927</v>
      </c>
      <c r="B15" s="111">
        <v>11232.77</v>
      </c>
      <c r="C15" s="111">
        <v>3344.52</v>
      </c>
      <c r="D15" s="59" t="s">
        <v>19</v>
      </c>
      <c r="E15" s="111" t="s">
        <v>23</v>
      </c>
      <c r="F15" s="113">
        <f>18505.2+11570</f>
        <v>30075.200000000001</v>
      </c>
      <c r="G15" s="113">
        <f>19448+1216+389</f>
        <v>21053</v>
      </c>
      <c r="H15" s="113">
        <f>15+89+15+15+15+15</f>
        <v>164</v>
      </c>
      <c r="I15" s="113">
        <f>F15-(G15+H15)</f>
        <v>8858.2000000000007</v>
      </c>
      <c r="J15" s="113">
        <f>I15</f>
        <v>8858.2000000000007</v>
      </c>
      <c r="K15" s="120" t="s">
        <v>76</v>
      </c>
      <c r="L15" s="103">
        <f>IF(J15&lt;0,0,I15)</f>
        <v>8858.2000000000007</v>
      </c>
      <c r="M15" s="105"/>
      <c r="N15" s="105"/>
      <c r="O15" s="154">
        <v>3360.5079999999998</v>
      </c>
      <c r="P15" s="99">
        <f>O15*M3</f>
        <v>16096.83332</v>
      </c>
      <c r="Q15" s="119"/>
      <c r="R15" s="101">
        <f>J15-O15</f>
        <v>5497.6920000000009</v>
      </c>
      <c r="S15" s="145">
        <f>R15*M3</f>
        <v>26333.944680000004</v>
      </c>
    </row>
    <row r="16" spans="1:19" ht="15.75" hidden="1" customHeight="1" x14ac:dyDescent="0.25">
      <c r="A16" s="57">
        <v>44927</v>
      </c>
      <c r="B16" s="112"/>
      <c r="C16" s="112"/>
      <c r="D16" s="59" t="s">
        <v>20</v>
      </c>
      <c r="E16" s="112"/>
      <c r="F16" s="114"/>
      <c r="G16" s="114"/>
      <c r="H16" s="114"/>
      <c r="I16" s="114"/>
      <c r="J16" s="114"/>
      <c r="K16" s="121"/>
      <c r="L16" s="104"/>
      <c r="M16" s="106"/>
      <c r="N16" s="106"/>
      <c r="O16" s="155"/>
      <c r="P16" s="109"/>
      <c r="Q16" s="104"/>
      <c r="R16" s="102"/>
      <c r="S16" s="145"/>
    </row>
    <row r="17" spans="1:19" ht="15.75" hidden="1" customHeight="1" x14ac:dyDescent="0.25">
      <c r="A17" s="57">
        <v>44958</v>
      </c>
      <c r="B17" s="111">
        <v>11233.77</v>
      </c>
      <c r="C17" s="111">
        <v>3345.52</v>
      </c>
      <c r="D17" s="59" t="s">
        <v>19</v>
      </c>
      <c r="E17" s="111" t="s">
        <v>23</v>
      </c>
      <c r="F17" s="113">
        <f>3564+7926.4</f>
        <v>11490.4</v>
      </c>
      <c r="G17" s="113">
        <f>16208+713-13</f>
        <v>16908</v>
      </c>
      <c r="H17" s="113">
        <f>15+89+15+15+15+15</f>
        <v>164</v>
      </c>
      <c r="I17" s="113">
        <f t="shared" ref="I17" si="0">F17-(G17+H17)</f>
        <v>-5581.6</v>
      </c>
      <c r="J17" s="113">
        <f>I17</f>
        <v>-5581.6</v>
      </c>
      <c r="K17" s="120"/>
      <c r="L17" s="103">
        <f t="shared" ref="L17" si="1">IF(J17&lt;0,0,I17)</f>
        <v>0</v>
      </c>
      <c r="M17" s="105"/>
      <c r="N17" s="105"/>
      <c r="O17" s="154">
        <v>3360.5079999999998</v>
      </c>
      <c r="P17" s="99">
        <f>O17*M3</f>
        <v>16096.83332</v>
      </c>
      <c r="Q17" s="119">
        <f>L17-O17</f>
        <v>-3360.5079999999998</v>
      </c>
      <c r="R17" s="101"/>
      <c r="S17" s="145">
        <f>Q17*M3</f>
        <v>-16096.83332</v>
      </c>
    </row>
    <row r="18" spans="1:19" ht="15.75" hidden="1" customHeight="1" x14ac:dyDescent="0.25">
      <c r="A18" s="57">
        <v>44958</v>
      </c>
      <c r="B18" s="112"/>
      <c r="C18" s="112"/>
      <c r="D18" s="59" t="s">
        <v>20</v>
      </c>
      <c r="E18" s="112"/>
      <c r="F18" s="114"/>
      <c r="G18" s="114"/>
      <c r="H18" s="114"/>
      <c r="I18" s="114"/>
      <c r="J18" s="114"/>
      <c r="K18" s="121"/>
      <c r="L18" s="104"/>
      <c r="M18" s="106"/>
      <c r="N18" s="106"/>
      <c r="O18" s="155"/>
      <c r="P18" s="109"/>
      <c r="Q18" s="104"/>
      <c r="R18" s="102"/>
      <c r="S18" s="145"/>
    </row>
    <row r="19" spans="1:19" ht="15.75" hidden="1" customHeight="1" x14ac:dyDescent="0.25">
      <c r="A19" s="57">
        <v>44986</v>
      </c>
      <c r="B19" s="111">
        <v>11234.77</v>
      </c>
      <c r="C19" s="111">
        <v>3346.52</v>
      </c>
      <c r="D19" s="59" t="s">
        <v>19</v>
      </c>
      <c r="E19" s="111" t="s">
        <v>23</v>
      </c>
      <c r="F19" s="113">
        <f>13571.6+12368.4</f>
        <v>25940</v>
      </c>
      <c r="G19" s="113">
        <f>18703+1132+270</f>
        <v>20105</v>
      </c>
      <c r="H19" s="113">
        <f>15+89+15+15+15+15</f>
        <v>164</v>
      </c>
      <c r="I19" s="113">
        <f t="shared" ref="I19" si="2">F19-(G19+H19)</f>
        <v>5671</v>
      </c>
      <c r="J19" s="113">
        <f>I19+J17</f>
        <v>89.399999999999636</v>
      </c>
      <c r="K19" s="120" t="s">
        <v>77</v>
      </c>
      <c r="L19" s="103">
        <f>J19</f>
        <v>89.399999999999636</v>
      </c>
      <c r="M19" s="105"/>
      <c r="N19" s="105"/>
      <c r="O19" s="154">
        <v>3360.5079999999998</v>
      </c>
      <c r="P19" s="99">
        <f>O19*M3</f>
        <v>16096.83332</v>
      </c>
      <c r="Q19" s="119">
        <f t="shared" ref="Q19" si="3">L19-O19</f>
        <v>-3271.1080000000002</v>
      </c>
      <c r="R19" s="101"/>
      <c r="S19" s="145">
        <f>Q19*M3</f>
        <v>-15668.607320000001</v>
      </c>
    </row>
    <row r="20" spans="1:19" ht="15.75" hidden="1" customHeight="1" x14ac:dyDescent="0.25">
      <c r="A20" s="57">
        <v>44986</v>
      </c>
      <c r="B20" s="112"/>
      <c r="C20" s="112"/>
      <c r="D20" s="59" t="s">
        <v>20</v>
      </c>
      <c r="E20" s="112"/>
      <c r="F20" s="114"/>
      <c r="G20" s="114"/>
      <c r="H20" s="114"/>
      <c r="I20" s="114"/>
      <c r="J20" s="114"/>
      <c r="K20" s="121"/>
      <c r="L20" s="104"/>
      <c r="M20" s="106"/>
      <c r="N20" s="106"/>
      <c r="O20" s="155"/>
      <c r="P20" s="109"/>
      <c r="Q20" s="104"/>
      <c r="R20" s="102"/>
      <c r="S20" s="145"/>
    </row>
    <row r="21" spans="1:19" ht="15.75" hidden="1" customHeight="1" x14ac:dyDescent="0.25">
      <c r="A21" s="57">
        <v>45017</v>
      </c>
      <c r="B21" s="111">
        <v>11235.77</v>
      </c>
      <c r="C21" s="111">
        <v>3347.52</v>
      </c>
      <c r="D21" s="59" t="s">
        <v>19</v>
      </c>
      <c r="E21" s="111" t="s">
        <v>23</v>
      </c>
      <c r="F21" s="113">
        <f>10903+9287.8</f>
        <v>20190.8</v>
      </c>
      <c r="G21" s="113">
        <f>17863+1030+377</f>
        <v>19270</v>
      </c>
      <c r="H21" s="113">
        <f>15+89+15+15+15+15</f>
        <v>164</v>
      </c>
      <c r="I21" s="113">
        <f t="shared" ref="I21" si="4">F21-(G21+H21)</f>
        <v>756.79999999999927</v>
      </c>
      <c r="J21" s="113">
        <f t="shared" ref="J21" si="5">I21</f>
        <v>756.79999999999927</v>
      </c>
      <c r="K21" s="120" t="s">
        <v>78</v>
      </c>
      <c r="L21" s="103">
        <f t="shared" ref="L21" si="6">IF(J21&lt;0,0,I21)</f>
        <v>756.79999999999927</v>
      </c>
      <c r="M21" s="105"/>
      <c r="N21" s="105"/>
      <c r="O21" s="154">
        <v>3360.5079999999998</v>
      </c>
      <c r="P21" s="99">
        <f>O21*M3</f>
        <v>16096.83332</v>
      </c>
      <c r="Q21" s="119">
        <f t="shared" ref="Q21" si="7">L21-O21</f>
        <v>-2603.7080000000005</v>
      </c>
      <c r="R21" s="101"/>
      <c r="S21" s="145">
        <f>Q21*M3</f>
        <v>-12471.761320000003</v>
      </c>
    </row>
    <row r="22" spans="1:19" ht="15.75" hidden="1" customHeight="1" x14ac:dyDescent="0.25">
      <c r="A22" s="57">
        <v>45017</v>
      </c>
      <c r="B22" s="112"/>
      <c r="C22" s="112"/>
      <c r="D22" s="59" t="s">
        <v>20</v>
      </c>
      <c r="E22" s="112"/>
      <c r="F22" s="114"/>
      <c r="G22" s="114"/>
      <c r="H22" s="114"/>
      <c r="I22" s="114"/>
      <c r="J22" s="114"/>
      <c r="K22" s="121"/>
      <c r="L22" s="104"/>
      <c r="M22" s="106"/>
      <c r="N22" s="106"/>
      <c r="O22" s="155"/>
      <c r="P22" s="109"/>
      <c r="Q22" s="104"/>
      <c r="R22" s="102"/>
      <c r="S22" s="145"/>
    </row>
    <row r="23" spans="1:19" ht="15.75" hidden="1" customHeight="1" x14ac:dyDescent="0.25">
      <c r="A23" s="57">
        <v>45047</v>
      </c>
      <c r="B23" s="111">
        <v>11236.77</v>
      </c>
      <c r="C23" s="111">
        <v>3348.52</v>
      </c>
      <c r="D23" s="59" t="s">
        <v>19</v>
      </c>
      <c r="E23" s="111" t="s">
        <v>23</v>
      </c>
      <c r="F23" s="113">
        <f>12212.8+10595.2</f>
        <v>22808</v>
      </c>
      <c r="G23" s="113">
        <f>24744+1465+784</f>
        <v>26993</v>
      </c>
      <c r="H23" s="113">
        <f>15+89+15+15+15+15</f>
        <v>164</v>
      </c>
      <c r="I23" s="113">
        <f t="shared" ref="I23" si="8">F23-(G23+H23)</f>
        <v>-4349</v>
      </c>
      <c r="J23" s="113">
        <f t="shared" ref="J23" si="9">I23</f>
        <v>-4349</v>
      </c>
      <c r="K23" s="120" t="s">
        <v>79</v>
      </c>
      <c r="L23" s="103">
        <f t="shared" ref="L23" si="10">IF(J23&lt;0,0,I23)</f>
        <v>0</v>
      </c>
      <c r="M23" s="105"/>
      <c r="N23" s="105"/>
      <c r="O23" s="154">
        <v>3360.5079999999998</v>
      </c>
      <c r="P23" s="99">
        <f>O23*M3</f>
        <v>16096.83332</v>
      </c>
      <c r="Q23" s="119">
        <f t="shared" ref="Q23" si="11">L23-O23</f>
        <v>-3360.5079999999998</v>
      </c>
      <c r="R23" s="101"/>
      <c r="S23" s="145">
        <f>Q23*M3</f>
        <v>-16096.83332</v>
      </c>
    </row>
    <row r="24" spans="1:19" ht="15.75" hidden="1" customHeight="1" x14ac:dyDescent="0.25">
      <c r="A24" s="57">
        <v>45047</v>
      </c>
      <c r="B24" s="112"/>
      <c r="C24" s="112"/>
      <c r="D24" s="59" t="s">
        <v>20</v>
      </c>
      <c r="E24" s="112"/>
      <c r="F24" s="114"/>
      <c r="G24" s="114"/>
      <c r="H24" s="114"/>
      <c r="I24" s="114"/>
      <c r="J24" s="114"/>
      <c r="K24" s="121"/>
      <c r="L24" s="104"/>
      <c r="M24" s="106"/>
      <c r="N24" s="106"/>
      <c r="O24" s="155"/>
      <c r="P24" s="109"/>
      <c r="Q24" s="104"/>
      <c r="R24" s="102"/>
      <c r="S24" s="145"/>
    </row>
    <row r="25" spans="1:19" ht="15.75" hidden="1" customHeight="1" x14ac:dyDescent="0.25">
      <c r="A25" s="57">
        <v>45078</v>
      </c>
      <c r="B25" s="111">
        <v>11237.77</v>
      </c>
      <c r="C25" s="111">
        <v>3349.52</v>
      </c>
      <c r="D25" s="59" t="s">
        <v>19</v>
      </c>
      <c r="E25" s="111" t="s">
        <v>23</v>
      </c>
      <c r="F25" s="113">
        <f>11234.2+10468.4</f>
        <v>21702.6</v>
      </c>
      <c r="G25" s="113">
        <f>13623+1166+407</f>
        <v>15196</v>
      </c>
      <c r="H25" s="113">
        <f t="shared" ref="H25" si="12">15+89+15+15+15+15</f>
        <v>164</v>
      </c>
      <c r="I25" s="113">
        <f t="shared" ref="I25" si="13">F25-(G25+H25)</f>
        <v>6342.5999999999985</v>
      </c>
      <c r="J25" s="113">
        <f>I25+J23-1</f>
        <v>1992.5999999999985</v>
      </c>
      <c r="K25" s="120" t="s">
        <v>80</v>
      </c>
      <c r="L25" s="103">
        <f>J25</f>
        <v>1992.5999999999985</v>
      </c>
      <c r="M25" s="105"/>
      <c r="N25" s="105"/>
      <c r="O25" s="154">
        <v>3360.5079999999998</v>
      </c>
      <c r="P25" s="99">
        <f>O25*M3</f>
        <v>16096.83332</v>
      </c>
      <c r="Q25" s="119">
        <f t="shared" ref="Q25" si="14">L25-O25</f>
        <v>-1367.9080000000013</v>
      </c>
      <c r="R25" s="101"/>
      <c r="S25" s="145">
        <f>Q25*M3</f>
        <v>-6552.279320000006</v>
      </c>
    </row>
    <row r="26" spans="1:19" ht="15.75" hidden="1" customHeight="1" x14ac:dyDescent="0.25">
      <c r="A26" s="57">
        <v>45078</v>
      </c>
      <c r="B26" s="112"/>
      <c r="C26" s="112"/>
      <c r="D26" s="59" t="s">
        <v>20</v>
      </c>
      <c r="E26" s="112"/>
      <c r="F26" s="114"/>
      <c r="G26" s="114"/>
      <c r="H26" s="114"/>
      <c r="I26" s="114"/>
      <c r="J26" s="114"/>
      <c r="K26" s="121"/>
      <c r="L26" s="104"/>
      <c r="M26" s="106"/>
      <c r="N26" s="106"/>
      <c r="O26" s="155"/>
      <c r="P26" s="109"/>
      <c r="Q26" s="104"/>
      <c r="R26" s="102"/>
      <c r="S26" s="145"/>
    </row>
    <row r="27" spans="1:19" ht="15.75" hidden="1" customHeight="1" x14ac:dyDescent="0.25">
      <c r="A27" s="57">
        <v>45108</v>
      </c>
      <c r="B27" s="111">
        <v>11238.77</v>
      </c>
      <c r="C27" s="111">
        <v>3350.52</v>
      </c>
      <c r="D27" s="59" t="s">
        <v>19</v>
      </c>
      <c r="E27" s="111" t="s">
        <v>23</v>
      </c>
      <c r="F27" s="113">
        <f>9350.2+8519.2</f>
        <v>17869.400000000001</v>
      </c>
      <c r="G27" s="113">
        <f>16254+1051+408</f>
        <v>17713</v>
      </c>
      <c r="H27" s="113">
        <f t="shared" ref="H27" si="15">15+89+15+15+15+15</f>
        <v>164</v>
      </c>
      <c r="I27" s="113">
        <f t="shared" ref="I27" si="16">F27-(G27+H27)</f>
        <v>-7.5999999999985448</v>
      </c>
      <c r="J27" s="113">
        <f t="shared" ref="J27" si="17">I27</f>
        <v>-7.5999999999985448</v>
      </c>
      <c r="K27" s="120" t="s">
        <v>81</v>
      </c>
      <c r="L27" s="103">
        <f t="shared" ref="L27" si="18">IF(J27&lt;0,0,I27)</f>
        <v>0</v>
      </c>
      <c r="M27" s="105"/>
      <c r="N27" s="105"/>
      <c r="O27" s="154">
        <v>3360.5079999999998</v>
      </c>
      <c r="P27" s="99">
        <f>O27*M3</f>
        <v>16096.83332</v>
      </c>
      <c r="Q27" s="119">
        <f t="shared" ref="Q27" si="19">L27-O27</f>
        <v>-3360.5079999999998</v>
      </c>
      <c r="R27" s="101"/>
      <c r="S27" s="145">
        <f>Q27*M3</f>
        <v>-16096.83332</v>
      </c>
    </row>
    <row r="28" spans="1:19" ht="15.75" hidden="1" customHeight="1" x14ac:dyDescent="0.25">
      <c r="A28" s="57">
        <v>45108</v>
      </c>
      <c r="B28" s="112"/>
      <c r="C28" s="112"/>
      <c r="D28" s="59" t="s">
        <v>20</v>
      </c>
      <c r="E28" s="112"/>
      <c r="F28" s="114"/>
      <c r="G28" s="114"/>
      <c r="H28" s="114"/>
      <c r="I28" s="114"/>
      <c r="J28" s="114"/>
      <c r="K28" s="121"/>
      <c r="L28" s="104"/>
      <c r="M28" s="106"/>
      <c r="N28" s="106"/>
      <c r="O28" s="155"/>
      <c r="P28" s="109"/>
      <c r="Q28" s="104"/>
      <c r="R28" s="102"/>
      <c r="S28" s="145"/>
    </row>
    <row r="29" spans="1:19" ht="15.75" hidden="1" customHeight="1" x14ac:dyDescent="0.25">
      <c r="A29" s="57">
        <v>45139</v>
      </c>
      <c r="B29" s="111">
        <v>11239.77</v>
      </c>
      <c r="C29" s="111">
        <v>3351.52</v>
      </c>
      <c r="D29" s="59" t="s">
        <v>19</v>
      </c>
      <c r="E29" s="111" t="s">
        <v>23</v>
      </c>
      <c r="F29" s="113">
        <f>11243.8+10279.6</f>
        <v>21523.4</v>
      </c>
      <c r="G29" s="113">
        <f>16959+872+297</f>
        <v>18128</v>
      </c>
      <c r="H29" s="113">
        <f t="shared" ref="H29" si="20">15+89+15+15+15+15</f>
        <v>164</v>
      </c>
      <c r="I29" s="113">
        <f t="shared" ref="I29" si="21">F29-(G29+H29)</f>
        <v>3231.4000000000015</v>
      </c>
      <c r="J29" s="113">
        <f>I29+J27</f>
        <v>3223.8000000000029</v>
      </c>
      <c r="K29" s="120" t="s">
        <v>82</v>
      </c>
      <c r="L29" s="103">
        <f>J29</f>
        <v>3223.8000000000029</v>
      </c>
      <c r="M29" s="105"/>
      <c r="N29" s="105"/>
      <c r="O29" s="154">
        <v>3360.5079999999998</v>
      </c>
      <c r="P29" s="99">
        <f>O29*M3</f>
        <v>16096.83332</v>
      </c>
      <c r="Q29" s="119">
        <f t="shared" ref="Q29" si="22">L29-O29</f>
        <v>-136.7079999999969</v>
      </c>
      <c r="R29" s="101"/>
      <c r="S29" s="145">
        <f>Q29*M3</f>
        <v>-654.83131999998511</v>
      </c>
    </row>
    <row r="30" spans="1:19" ht="15.75" hidden="1" customHeight="1" x14ac:dyDescent="0.25">
      <c r="A30" s="57">
        <v>45139</v>
      </c>
      <c r="B30" s="112"/>
      <c r="C30" s="112"/>
      <c r="D30" s="59" t="s">
        <v>20</v>
      </c>
      <c r="E30" s="112"/>
      <c r="F30" s="114"/>
      <c r="G30" s="114"/>
      <c r="H30" s="114"/>
      <c r="I30" s="114"/>
      <c r="J30" s="114"/>
      <c r="K30" s="121"/>
      <c r="L30" s="104"/>
      <c r="M30" s="106"/>
      <c r="N30" s="106"/>
      <c r="O30" s="155"/>
      <c r="P30" s="109"/>
      <c r="Q30" s="104"/>
      <c r="R30" s="102"/>
      <c r="S30" s="145"/>
    </row>
    <row r="31" spans="1:19" ht="15.75" hidden="1" customHeight="1" x14ac:dyDescent="0.25">
      <c r="A31" s="57">
        <v>45170</v>
      </c>
      <c r="B31" s="111">
        <v>11240.77</v>
      </c>
      <c r="C31" s="111">
        <v>3352.52</v>
      </c>
      <c r="D31" s="59" t="s">
        <v>19</v>
      </c>
      <c r="E31" s="111" t="s">
        <v>23</v>
      </c>
      <c r="F31" s="113">
        <f>11231.8+5990.4</f>
        <v>17222.199999999997</v>
      </c>
      <c r="G31" s="113">
        <f>16601+1117+374</f>
        <v>18092</v>
      </c>
      <c r="H31" s="113">
        <f t="shared" ref="H31" si="23">15+89+15+15+15+15</f>
        <v>164</v>
      </c>
      <c r="I31" s="113">
        <f>F31-(G31+H31)</f>
        <v>-1033.8000000000029</v>
      </c>
      <c r="J31" s="113">
        <f t="shared" ref="J31" si="24">I31</f>
        <v>-1033.8000000000029</v>
      </c>
      <c r="K31" s="120" t="s">
        <v>83</v>
      </c>
      <c r="L31" s="103">
        <f t="shared" ref="L31" si="25">IF(J31&lt;0,0,I31)</f>
        <v>0</v>
      </c>
      <c r="M31" s="105"/>
      <c r="N31" s="105"/>
      <c r="O31" s="154">
        <v>3360.5079999999998</v>
      </c>
      <c r="P31" s="99">
        <f>O31*M3</f>
        <v>16096.83332</v>
      </c>
      <c r="Q31" s="119">
        <f t="shared" ref="Q31" si="26">L31-O31</f>
        <v>-3360.5079999999998</v>
      </c>
      <c r="R31" s="101"/>
      <c r="S31" s="145">
        <f>Q31*M3</f>
        <v>-16096.83332</v>
      </c>
    </row>
    <row r="32" spans="1:19" ht="15.75" hidden="1" customHeight="1" x14ac:dyDescent="0.25">
      <c r="A32" s="57">
        <v>45170</v>
      </c>
      <c r="B32" s="112"/>
      <c r="C32" s="112"/>
      <c r="D32" s="59" t="s">
        <v>20</v>
      </c>
      <c r="E32" s="112"/>
      <c r="F32" s="114"/>
      <c r="G32" s="114"/>
      <c r="H32" s="114"/>
      <c r="I32" s="114"/>
      <c r="J32" s="114"/>
      <c r="K32" s="121"/>
      <c r="L32" s="104"/>
      <c r="M32" s="106"/>
      <c r="N32" s="106"/>
      <c r="O32" s="155"/>
      <c r="P32" s="109"/>
      <c r="Q32" s="104"/>
      <c r="R32" s="102"/>
      <c r="S32" s="145"/>
    </row>
    <row r="33" spans="1:19" ht="15.75" hidden="1" customHeight="1" x14ac:dyDescent="0.25">
      <c r="A33" s="57">
        <v>45200</v>
      </c>
      <c r="B33" s="111">
        <v>11241.77</v>
      </c>
      <c r="C33" s="111">
        <v>3353.52</v>
      </c>
      <c r="D33" s="59" t="s">
        <v>19</v>
      </c>
      <c r="E33" s="111" t="s">
        <v>23</v>
      </c>
      <c r="F33" s="113">
        <f>12086.8+6579.8</f>
        <v>18666.599999999999</v>
      </c>
      <c r="G33" s="113">
        <f>17992+1079+364</f>
        <v>19435</v>
      </c>
      <c r="H33" s="113">
        <f t="shared" ref="H33" si="27">15+89+15+15+15+15</f>
        <v>164</v>
      </c>
      <c r="I33" s="113">
        <f t="shared" ref="I33" si="28">F33-(G33+H33)</f>
        <v>-932.40000000000146</v>
      </c>
      <c r="J33" s="113">
        <f>I33+J31</f>
        <v>-1966.2000000000044</v>
      </c>
      <c r="K33" s="120" t="s">
        <v>84</v>
      </c>
      <c r="L33" s="103">
        <f t="shared" ref="L33" si="29">IF(J33&lt;0,0,I33)</f>
        <v>0</v>
      </c>
      <c r="M33" s="105"/>
      <c r="N33" s="105"/>
      <c r="O33" s="154">
        <v>3360.5079999999998</v>
      </c>
      <c r="P33" s="99">
        <f>O33*M3</f>
        <v>16096.83332</v>
      </c>
      <c r="Q33" s="119">
        <f t="shared" ref="Q33" si="30">L33-O33</f>
        <v>-3360.5079999999998</v>
      </c>
      <c r="R33" s="101"/>
      <c r="S33" s="145">
        <f>Q33*M3</f>
        <v>-16096.83332</v>
      </c>
    </row>
    <row r="34" spans="1:19" ht="15.75" hidden="1" customHeight="1" x14ac:dyDescent="0.25">
      <c r="A34" s="57">
        <v>45200</v>
      </c>
      <c r="B34" s="112"/>
      <c r="C34" s="112"/>
      <c r="D34" s="59" t="s">
        <v>20</v>
      </c>
      <c r="E34" s="112"/>
      <c r="F34" s="114"/>
      <c r="G34" s="114"/>
      <c r="H34" s="114"/>
      <c r="I34" s="114"/>
      <c r="J34" s="114"/>
      <c r="K34" s="121"/>
      <c r="L34" s="104"/>
      <c r="M34" s="106"/>
      <c r="N34" s="106"/>
      <c r="O34" s="155"/>
      <c r="P34" s="109"/>
      <c r="Q34" s="104"/>
      <c r="R34" s="102"/>
      <c r="S34" s="145"/>
    </row>
    <row r="35" spans="1:19" ht="15.75" hidden="1" customHeight="1" x14ac:dyDescent="0.25">
      <c r="A35" s="57">
        <v>45231</v>
      </c>
      <c r="B35" s="111">
        <v>11242.77</v>
      </c>
      <c r="C35" s="111">
        <v>3354.52</v>
      </c>
      <c r="D35" s="59" t="s">
        <v>19</v>
      </c>
      <c r="E35" s="111" t="s">
        <v>23</v>
      </c>
      <c r="F35" s="113">
        <f>11608.4+11143.2</f>
        <v>22751.599999999999</v>
      </c>
      <c r="G35" s="113">
        <f>17577+1211+362</f>
        <v>19150</v>
      </c>
      <c r="H35" s="113">
        <f t="shared" ref="H35" si="31">15+89+15+15+15+15</f>
        <v>164</v>
      </c>
      <c r="I35" s="113">
        <f t="shared" ref="I35" si="32">F35-(G35+H35)</f>
        <v>3437.5999999999985</v>
      </c>
      <c r="J35" s="113">
        <f>I35+J33+1</f>
        <v>1472.3999999999942</v>
      </c>
      <c r="K35" s="120" t="s">
        <v>85</v>
      </c>
      <c r="L35" s="103">
        <f>J35</f>
        <v>1472.3999999999942</v>
      </c>
      <c r="M35" s="105"/>
      <c r="N35" s="105"/>
      <c r="O35" s="154">
        <v>3360.5079999999998</v>
      </c>
      <c r="P35" s="99">
        <f>O35*O2</f>
        <v>16096.83332</v>
      </c>
      <c r="Q35" s="119">
        <f t="shared" ref="Q35" si="33">L35-O35</f>
        <v>-1888.1080000000056</v>
      </c>
      <c r="R35" s="101"/>
      <c r="S35" s="145">
        <f>Q35*M3</f>
        <v>-9044.0373200000267</v>
      </c>
    </row>
    <row r="36" spans="1:19" ht="15.75" hidden="1" customHeight="1" x14ac:dyDescent="0.25">
      <c r="A36" s="57">
        <v>45231</v>
      </c>
      <c r="B36" s="112"/>
      <c r="C36" s="112"/>
      <c r="D36" s="59" t="s">
        <v>20</v>
      </c>
      <c r="E36" s="112"/>
      <c r="F36" s="114"/>
      <c r="G36" s="114"/>
      <c r="H36" s="114"/>
      <c r="I36" s="114"/>
      <c r="J36" s="114"/>
      <c r="K36" s="121"/>
      <c r="L36" s="104"/>
      <c r="M36" s="106"/>
      <c r="N36" s="106"/>
      <c r="O36" s="155"/>
      <c r="P36" s="109"/>
      <c r="Q36" s="104"/>
      <c r="R36" s="102"/>
      <c r="S36" s="145"/>
    </row>
    <row r="37" spans="1:19" ht="15.75" hidden="1" customHeight="1" x14ac:dyDescent="0.25">
      <c r="A37" s="57">
        <v>45261</v>
      </c>
      <c r="B37" s="111">
        <v>11243.77</v>
      </c>
      <c r="C37" s="111">
        <v>3355.52</v>
      </c>
      <c r="D37" s="59" t="s">
        <v>19</v>
      </c>
      <c r="E37" s="111" t="s">
        <v>23</v>
      </c>
      <c r="F37" s="113">
        <f>11191.4+11193.2</f>
        <v>22384.6</v>
      </c>
      <c r="G37" s="113">
        <f>18092+1274+363</f>
        <v>19729</v>
      </c>
      <c r="H37" s="113">
        <f t="shared" ref="H37" si="34">15+89+15+15+15+15</f>
        <v>164</v>
      </c>
      <c r="I37" s="113">
        <f t="shared" ref="I37" si="35">F37-(G37+H37)</f>
        <v>2491.5999999999985</v>
      </c>
      <c r="J37" s="113">
        <f>I37-1</f>
        <v>2490.5999999999985</v>
      </c>
      <c r="K37" s="120" t="s">
        <v>86</v>
      </c>
      <c r="L37" s="103">
        <f>J37</f>
        <v>2490.5999999999985</v>
      </c>
      <c r="M37" s="105"/>
      <c r="N37" s="105"/>
      <c r="O37" s="154">
        <v>3360.5079999999998</v>
      </c>
      <c r="P37" s="99">
        <f>O37*O2</f>
        <v>16096.83332</v>
      </c>
      <c r="Q37" s="119">
        <f t="shared" ref="Q37" si="36">L37-O37</f>
        <v>-869.90800000000127</v>
      </c>
      <c r="R37" s="101"/>
      <c r="S37" s="145">
        <f>Q37*M3</f>
        <v>-4166.8593200000059</v>
      </c>
    </row>
    <row r="38" spans="1:19" ht="15.75" hidden="1" customHeight="1" x14ac:dyDescent="0.25">
      <c r="A38" s="57">
        <v>45261</v>
      </c>
      <c r="B38" s="112"/>
      <c r="C38" s="112"/>
      <c r="D38" s="59" t="s">
        <v>20</v>
      </c>
      <c r="E38" s="112"/>
      <c r="F38" s="114"/>
      <c r="G38" s="114"/>
      <c r="H38" s="114"/>
      <c r="I38" s="114"/>
      <c r="J38" s="114"/>
      <c r="K38" s="121"/>
      <c r="L38" s="104"/>
      <c r="M38" s="106"/>
      <c r="N38" s="106"/>
      <c r="O38" s="155"/>
      <c r="P38" s="109"/>
      <c r="Q38" s="104"/>
      <c r="R38" s="102"/>
      <c r="S38" s="145"/>
    </row>
    <row r="39" spans="1:19" s="20" customFormat="1" ht="31.5" hidden="1" customHeight="1" x14ac:dyDescent="0.25">
      <c r="A39" s="75"/>
      <c r="L39" s="20">
        <f>SUM(L15:L38)</f>
        <v>18883.799999999996</v>
      </c>
      <c r="O39" s="20">
        <f>SUM(O15:O38)</f>
        <v>40326.096000000012</v>
      </c>
      <c r="P39" s="20">
        <f>SUM(P15:P38)</f>
        <v>193161.99984000003</v>
      </c>
      <c r="R39" s="20">
        <f>SUM(Q15:R38)</f>
        <v>-21442.296000000009</v>
      </c>
      <c r="S39" s="20">
        <f>SUM(S15:S38)</f>
        <v>-102708.59784000003</v>
      </c>
    </row>
    <row r="40" spans="1:19" s="20" customFormat="1" ht="31.5" hidden="1" customHeight="1" x14ac:dyDescent="0.25">
      <c r="A40" s="75"/>
      <c r="L40" s="20">
        <f>L39*M3</f>
        <v>90453.401999999973</v>
      </c>
    </row>
    <row r="41" spans="1:19" s="20" customFormat="1" ht="31.5" hidden="1" customHeight="1" x14ac:dyDescent="0.25">
      <c r="A41" s="75"/>
    </row>
    <row r="42" spans="1:19" ht="15.75" hidden="1" customHeight="1" x14ac:dyDescent="0.25">
      <c r="A42" s="57">
        <v>45292</v>
      </c>
      <c r="B42" s="111">
        <v>11232.77</v>
      </c>
      <c r="C42" s="111">
        <v>3344.52</v>
      </c>
      <c r="D42" s="59" t="s">
        <v>19</v>
      </c>
      <c r="E42" s="111" t="s">
        <v>23</v>
      </c>
      <c r="F42" s="113">
        <f>13521+13294</f>
        <v>26815</v>
      </c>
      <c r="G42" s="113">
        <f>19972+1049+311</f>
        <v>21332</v>
      </c>
      <c r="H42" s="113">
        <f>15+89+15+15+15+15</f>
        <v>164</v>
      </c>
      <c r="I42" s="113">
        <f>F42-(G42+H42)</f>
        <v>5319</v>
      </c>
      <c r="J42" s="113">
        <f>I42</f>
        <v>5319</v>
      </c>
      <c r="K42" s="157" t="s">
        <v>87</v>
      </c>
      <c r="L42" s="103">
        <f>IF(J42&lt;0,0,I42)</f>
        <v>5319</v>
      </c>
      <c r="M42" s="105"/>
      <c r="N42" s="105"/>
      <c r="O42" s="154">
        <v>3360.5079999999998</v>
      </c>
      <c r="P42" s="99">
        <f>O42*O2</f>
        <v>16096.83332</v>
      </c>
      <c r="Q42" s="119"/>
      <c r="R42" s="119">
        <f>L42-O42</f>
        <v>1958.4920000000002</v>
      </c>
      <c r="S42" s="146">
        <f>R42*O2</f>
        <v>9381.1766800000005</v>
      </c>
    </row>
    <row r="43" spans="1:19" ht="15.75" hidden="1" customHeight="1" x14ac:dyDescent="0.25">
      <c r="A43" s="57">
        <v>45292</v>
      </c>
      <c r="B43" s="112"/>
      <c r="C43" s="112"/>
      <c r="D43" s="59" t="s">
        <v>20</v>
      </c>
      <c r="E43" s="112"/>
      <c r="F43" s="114"/>
      <c r="G43" s="114"/>
      <c r="H43" s="114"/>
      <c r="I43" s="114"/>
      <c r="J43" s="114"/>
      <c r="K43" s="158"/>
      <c r="L43" s="104"/>
      <c r="M43" s="106"/>
      <c r="N43" s="106"/>
      <c r="O43" s="155"/>
      <c r="P43" s="109"/>
      <c r="Q43" s="156"/>
      <c r="R43" s="156"/>
      <c r="S43" s="148"/>
    </row>
    <row r="44" spans="1:19" ht="15.75" hidden="1" customHeight="1" x14ac:dyDescent="0.25">
      <c r="A44" s="57">
        <v>45323</v>
      </c>
      <c r="B44" s="111">
        <v>11233.77</v>
      </c>
      <c r="C44" s="111">
        <v>3345.52</v>
      </c>
      <c r="D44" s="59" t="s">
        <v>19</v>
      </c>
      <c r="E44" s="111" t="s">
        <v>23</v>
      </c>
      <c r="F44" s="113">
        <f>11456+8327</f>
        <v>19783</v>
      </c>
      <c r="G44" s="113">
        <f>19121+1279+438</f>
        <v>20838</v>
      </c>
      <c r="H44" s="113">
        <f>15+89+15+15+15+15</f>
        <v>164</v>
      </c>
      <c r="I44" s="113">
        <f t="shared" ref="I44" si="37">F44-(G44+H44)</f>
        <v>-1219</v>
      </c>
      <c r="J44" s="113">
        <f>I44</f>
        <v>-1219</v>
      </c>
      <c r="K44" s="115" t="s">
        <v>88</v>
      </c>
      <c r="L44" s="103">
        <f>IF(J44&lt;0,0,I44)</f>
        <v>0</v>
      </c>
      <c r="M44" s="105"/>
      <c r="N44" s="105"/>
      <c r="O44" s="154">
        <v>3360.5079999999998</v>
      </c>
      <c r="P44" s="99">
        <f>O44*O2</f>
        <v>16096.83332</v>
      </c>
      <c r="Q44" s="119">
        <f>L44-O44</f>
        <v>-3360.5079999999998</v>
      </c>
      <c r="R44" s="101"/>
      <c r="S44" s="146">
        <f>Q44*O2</f>
        <v>-16096.83332</v>
      </c>
    </row>
    <row r="45" spans="1:19" ht="15.75" hidden="1" customHeight="1" x14ac:dyDescent="0.25">
      <c r="A45" s="57">
        <v>45323</v>
      </c>
      <c r="B45" s="112"/>
      <c r="C45" s="112"/>
      <c r="D45" s="59" t="s">
        <v>20</v>
      </c>
      <c r="E45" s="112"/>
      <c r="F45" s="114"/>
      <c r="G45" s="114"/>
      <c r="H45" s="114"/>
      <c r="I45" s="114"/>
      <c r="J45" s="114"/>
      <c r="K45" s="116"/>
      <c r="L45" s="104"/>
      <c r="M45" s="106"/>
      <c r="N45" s="106"/>
      <c r="O45" s="155"/>
      <c r="P45" s="109"/>
      <c r="Q45" s="156"/>
      <c r="R45" s="102"/>
      <c r="S45" s="148"/>
    </row>
    <row r="46" spans="1:19" ht="15.75" hidden="1" customHeight="1" x14ac:dyDescent="0.25">
      <c r="A46" s="57">
        <v>45352</v>
      </c>
      <c r="B46" s="111">
        <v>11234.77</v>
      </c>
      <c r="C46" s="111">
        <v>3346.52</v>
      </c>
      <c r="D46" s="59" t="s">
        <v>19</v>
      </c>
      <c r="E46" s="111" t="s">
        <v>23</v>
      </c>
      <c r="F46" s="113">
        <f>11018+5910</f>
        <v>16928</v>
      </c>
      <c r="G46" s="113">
        <f>19390+1202+289</f>
        <v>20881</v>
      </c>
      <c r="H46" s="113">
        <f>15+89+15+15+15+15</f>
        <v>164</v>
      </c>
      <c r="I46" s="113">
        <f>F46-(G46+H46)</f>
        <v>-4117</v>
      </c>
      <c r="J46" s="113">
        <f>I46</f>
        <v>-4117</v>
      </c>
      <c r="K46" s="115" t="s">
        <v>89</v>
      </c>
      <c r="L46" s="103">
        <f>IF(J46&lt;0,0,I46)</f>
        <v>0</v>
      </c>
      <c r="M46" s="105"/>
      <c r="N46" s="105"/>
      <c r="O46" s="154">
        <v>3360.5079999999998</v>
      </c>
      <c r="P46" s="99">
        <f>O46*O2</f>
        <v>16096.83332</v>
      </c>
      <c r="Q46" s="119">
        <f t="shared" ref="Q46" si="38">L46-O46</f>
        <v>-3360.5079999999998</v>
      </c>
      <c r="R46" s="101"/>
      <c r="S46" s="146">
        <f>Q46*O2</f>
        <v>-16096.83332</v>
      </c>
    </row>
    <row r="47" spans="1:19" ht="15.75" hidden="1" customHeight="1" x14ac:dyDescent="0.25">
      <c r="A47" s="57">
        <v>45352</v>
      </c>
      <c r="B47" s="112"/>
      <c r="C47" s="112"/>
      <c r="D47" s="59" t="s">
        <v>20</v>
      </c>
      <c r="E47" s="112"/>
      <c r="F47" s="114"/>
      <c r="G47" s="114"/>
      <c r="H47" s="114"/>
      <c r="I47" s="114"/>
      <c r="J47" s="114"/>
      <c r="K47" s="116"/>
      <c r="L47" s="104"/>
      <c r="M47" s="106"/>
      <c r="N47" s="106"/>
      <c r="O47" s="155"/>
      <c r="P47" s="109"/>
      <c r="Q47" s="156"/>
      <c r="R47" s="102"/>
      <c r="S47" s="148"/>
    </row>
    <row r="48" spans="1:19" ht="15.75" hidden="1" customHeight="1" x14ac:dyDescent="0.25">
      <c r="A48" s="57">
        <v>45383</v>
      </c>
      <c r="B48" s="111">
        <v>11235.77</v>
      </c>
      <c r="C48" s="111">
        <v>3347.52</v>
      </c>
      <c r="D48" s="59" t="s">
        <v>19</v>
      </c>
      <c r="E48" s="111" t="s">
        <v>23</v>
      </c>
      <c r="F48" s="113">
        <f>11797+7292</f>
        <v>19089</v>
      </c>
      <c r="G48" s="113">
        <f>23458+1230+353</f>
        <v>25041</v>
      </c>
      <c r="H48" s="113">
        <f>15+89+15+15+15+15</f>
        <v>164</v>
      </c>
      <c r="I48" s="113">
        <f>F48-(G48+H48)</f>
        <v>-6116</v>
      </c>
      <c r="J48" s="113">
        <f>I48</f>
        <v>-6116</v>
      </c>
      <c r="K48" s="115" t="s">
        <v>90</v>
      </c>
      <c r="L48" s="103">
        <f>IF(J48&lt;0,0,I48)</f>
        <v>0</v>
      </c>
      <c r="M48" s="105"/>
      <c r="N48" s="105"/>
      <c r="O48" s="154">
        <v>3360.5079999999998</v>
      </c>
      <c r="P48" s="99">
        <f>O48*O2</f>
        <v>16096.83332</v>
      </c>
      <c r="Q48" s="119">
        <f t="shared" ref="Q48" si="39">L48-O48</f>
        <v>-3360.5079999999998</v>
      </c>
      <c r="R48" s="101"/>
      <c r="S48" s="146">
        <f>Q48*O2</f>
        <v>-16096.83332</v>
      </c>
    </row>
    <row r="49" spans="1:19" ht="15.75" hidden="1" customHeight="1" x14ac:dyDescent="0.25">
      <c r="A49" s="57">
        <v>45383</v>
      </c>
      <c r="B49" s="112"/>
      <c r="C49" s="112"/>
      <c r="D49" s="59" t="s">
        <v>20</v>
      </c>
      <c r="E49" s="112"/>
      <c r="F49" s="114"/>
      <c r="G49" s="114"/>
      <c r="H49" s="114"/>
      <c r="I49" s="114"/>
      <c r="J49" s="114"/>
      <c r="K49" s="116"/>
      <c r="L49" s="104"/>
      <c r="M49" s="106"/>
      <c r="N49" s="106"/>
      <c r="O49" s="155"/>
      <c r="P49" s="109"/>
      <c r="Q49" s="156"/>
      <c r="R49" s="102"/>
      <c r="S49" s="148"/>
    </row>
    <row r="50" spans="1:19" ht="15.75" hidden="1" customHeight="1" x14ac:dyDescent="0.25">
      <c r="A50" s="57">
        <v>45413</v>
      </c>
      <c r="B50" s="111">
        <v>11236.77</v>
      </c>
      <c r="C50" s="111">
        <v>3348.52</v>
      </c>
      <c r="D50" s="59" t="s">
        <v>19</v>
      </c>
      <c r="E50" s="111" t="s">
        <v>23</v>
      </c>
      <c r="F50" s="113">
        <f>10063+9516</f>
        <v>19579</v>
      </c>
      <c r="G50" s="113">
        <f>16854+984+340</f>
        <v>18178</v>
      </c>
      <c r="H50" s="113">
        <f>15+89+15+15+15+15</f>
        <v>164</v>
      </c>
      <c r="I50" s="113">
        <f>F50-(G50+H50)</f>
        <v>1237</v>
      </c>
      <c r="J50" s="113">
        <f>I50</f>
        <v>1237</v>
      </c>
      <c r="K50" s="115" t="s">
        <v>91</v>
      </c>
      <c r="L50" s="103">
        <f>IF(J50&lt;0,0,I50)</f>
        <v>1237</v>
      </c>
      <c r="M50" s="105"/>
      <c r="N50" s="105"/>
      <c r="O50" s="154">
        <v>3360.5079999999998</v>
      </c>
      <c r="P50" s="99">
        <f>O50*O2</f>
        <v>16096.83332</v>
      </c>
      <c r="Q50" s="119">
        <f t="shared" ref="Q50" si="40">L50-O50</f>
        <v>-2123.5079999999998</v>
      </c>
      <c r="R50" s="101"/>
      <c r="S50" s="146">
        <f>Q50*O2</f>
        <v>-10171.603319999998</v>
      </c>
    </row>
    <row r="51" spans="1:19" ht="15.75" hidden="1" customHeight="1" x14ac:dyDescent="0.25">
      <c r="A51" s="57">
        <v>45413</v>
      </c>
      <c r="B51" s="112"/>
      <c r="C51" s="112"/>
      <c r="D51" s="59" t="s">
        <v>20</v>
      </c>
      <c r="E51" s="112"/>
      <c r="F51" s="114"/>
      <c r="G51" s="114"/>
      <c r="H51" s="114"/>
      <c r="I51" s="114"/>
      <c r="J51" s="114"/>
      <c r="K51" s="116"/>
      <c r="L51" s="104"/>
      <c r="M51" s="106"/>
      <c r="N51" s="106"/>
      <c r="O51" s="155"/>
      <c r="P51" s="109"/>
      <c r="Q51" s="156"/>
      <c r="R51" s="102"/>
      <c r="S51" s="148"/>
    </row>
    <row r="52" spans="1:19" ht="15.75" hidden="1" customHeight="1" x14ac:dyDescent="0.25">
      <c r="A52" s="57">
        <v>45444</v>
      </c>
      <c r="B52" s="111">
        <v>11237.77</v>
      </c>
      <c r="C52" s="111">
        <v>3349.52</v>
      </c>
      <c r="D52" s="59" t="s">
        <v>19</v>
      </c>
      <c r="E52" s="111" t="s">
        <v>23</v>
      </c>
      <c r="F52" s="113">
        <f>12476+11597</f>
        <v>24073</v>
      </c>
      <c r="G52" s="113">
        <f>18809+1040+303</f>
        <v>20152</v>
      </c>
      <c r="H52" s="113">
        <f>15+89+15+15+15+15</f>
        <v>164</v>
      </c>
      <c r="I52" s="113">
        <f>F52-(G52+H52)</f>
        <v>3757</v>
      </c>
      <c r="J52" s="113">
        <f>I52</f>
        <v>3757</v>
      </c>
      <c r="K52" s="115" t="s">
        <v>92</v>
      </c>
      <c r="L52" s="103">
        <f>IF(J52&lt;0,0,I52)</f>
        <v>3757</v>
      </c>
      <c r="M52" s="105"/>
      <c r="N52" s="105"/>
      <c r="O52" s="154">
        <v>3360.5079999999998</v>
      </c>
      <c r="P52" s="99">
        <f>O52*O2</f>
        <v>16096.83332</v>
      </c>
      <c r="Q52" s="119"/>
      <c r="R52" s="119">
        <f>L52-O52</f>
        <v>396.49200000000019</v>
      </c>
      <c r="S52" s="146">
        <f>R52*O2</f>
        <v>1899.1966800000009</v>
      </c>
    </row>
    <row r="53" spans="1:19" ht="15.75" hidden="1" customHeight="1" x14ac:dyDescent="0.25">
      <c r="A53" s="57">
        <v>45444</v>
      </c>
      <c r="B53" s="112"/>
      <c r="C53" s="112"/>
      <c r="D53" s="59" t="s">
        <v>20</v>
      </c>
      <c r="E53" s="112"/>
      <c r="F53" s="114"/>
      <c r="G53" s="114"/>
      <c r="H53" s="114"/>
      <c r="I53" s="114"/>
      <c r="J53" s="114"/>
      <c r="K53" s="116"/>
      <c r="L53" s="104"/>
      <c r="M53" s="106"/>
      <c r="N53" s="106"/>
      <c r="O53" s="155"/>
      <c r="P53" s="109"/>
      <c r="Q53" s="156"/>
      <c r="R53" s="156"/>
      <c r="S53" s="148"/>
    </row>
    <row r="54" spans="1:19" ht="15.75" hidden="1" customHeight="1" x14ac:dyDescent="0.25">
      <c r="A54" s="57">
        <v>45474</v>
      </c>
      <c r="B54" s="111">
        <v>11238.77</v>
      </c>
      <c r="C54" s="111">
        <v>3350.52</v>
      </c>
      <c r="D54" s="59" t="s">
        <v>19</v>
      </c>
      <c r="E54" s="111" t="s">
        <v>23</v>
      </c>
      <c r="F54" s="113">
        <f>11326+10354</f>
        <v>21680</v>
      </c>
      <c r="G54" s="113">
        <f>6539+548+105</f>
        <v>7192</v>
      </c>
      <c r="H54" s="113">
        <f>15+89+15+15+15+15</f>
        <v>164</v>
      </c>
      <c r="I54" s="113">
        <f>F54-(G54+H54)</f>
        <v>14324</v>
      </c>
      <c r="J54" s="113">
        <f t="shared" ref="J54" si="41">I54</f>
        <v>14324</v>
      </c>
      <c r="K54" s="115" t="s">
        <v>93</v>
      </c>
      <c r="L54" s="103">
        <f t="shared" ref="L54" si="42">IF(J54&lt;0,0,I54)</f>
        <v>14324</v>
      </c>
      <c r="M54" s="105"/>
      <c r="N54" s="105"/>
      <c r="O54" s="154">
        <v>3360.5079999999998</v>
      </c>
      <c r="P54" s="99">
        <f>O54*O3</f>
        <v>17508.24668</v>
      </c>
      <c r="Q54" s="119"/>
      <c r="R54" s="119">
        <f>L54-O54</f>
        <v>10963.492</v>
      </c>
      <c r="S54" s="146">
        <f>R54*O3</f>
        <v>57119.793319999997</v>
      </c>
    </row>
    <row r="55" spans="1:19" ht="15.75" hidden="1" customHeight="1" x14ac:dyDescent="0.25">
      <c r="A55" s="57">
        <v>45474</v>
      </c>
      <c r="B55" s="112"/>
      <c r="C55" s="112"/>
      <c r="D55" s="59" t="s">
        <v>20</v>
      </c>
      <c r="E55" s="112"/>
      <c r="F55" s="114"/>
      <c r="G55" s="114"/>
      <c r="H55" s="114"/>
      <c r="I55" s="114"/>
      <c r="J55" s="114"/>
      <c r="K55" s="116"/>
      <c r="L55" s="104"/>
      <c r="M55" s="106"/>
      <c r="N55" s="106"/>
      <c r="O55" s="155"/>
      <c r="P55" s="109"/>
      <c r="Q55" s="156"/>
      <c r="R55" s="156"/>
      <c r="S55" s="148"/>
    </row>
    <row r="56" spans="1:19" ht="15.75" hidden="1" customHeight="1" x14ac:dyDescent="0.25">
      <c r="A56" s="57">
        <v>45505</v>
      </c>
      <c r="B56" s="111">
        <v>11239.77</v>
      </c>
      <c r="C56" s="111">
        <v>3351.52</v>
      </c>
      <c r="D56" s="59" t="s">
        <v>19</v>
      </c>
      <c r="E56" s="111" t="s">
        <v>23</v>
      </c>
      <c r="F56" s="113">
        <f>11543+10225</f>
        <v>21768</v>
      </c>
      <c r="G56" s="113">
        <f>23769+1393+483</f>
        <v>25645</v>
      </c>
      <c r="H56" s="113">
        <f>15+89+15+15+15+15</f>
        <v>164</v>
      </c>
      <c r="I56" s="113">
        <f t="shared" ref="I56" si="43">F56-(G56+H56)</f>
        <v>-4041</v>
      </c>
      <c r="J56" s="113">
        <f>I56</f>
        <v>-4041</v>
      </c>
      <c r="K56" s="115" t="s">
        <v>94</v>
      </c>
      <c r="L56" s="103">
        <f t="shared" ref="L56" si="44">IF(J56&lt;0,0,I56)</f>
        <v>0</v>
      </c>
      <c r="M56" s="105"/>
      <c r="N56" s="105"/>
      <c r="O56" s="154">
        <v>3360.5079999999998</v>
      </c>
      <c r="P56" s="99">
        <f>O56*O3</f>
        <v>17508.24668</v>
      </c>
      <c r="Q56" s="119">
        <f t="shared" ref="Q56" si="45">L56-O56</f>
        <v>-3360.5079999999998</v>
      </c>
      <c r="R56" s="101"/>
      <c r="S56" s="146">
        <f>Q56*O3</f>
        <v>-17508.24668</v>
      </c>
    </row>
    <row r="57" spans="1:19" ht="15.75" hidden="1" customHeight="1" x14ac:dyDescent="0.25">
      <c r="A57" s="57">
        <v>45505</v>
      </c>
      <c r="B57" s="112"/>
      <c r="C57" s="112"/>
      <c r="D57" s="59" t="s">
        <v>20</v>
      </c>
      <c r="E57" s="112"/>
      <c r="F57" s="114"/>
      <c r="G57" s="114"/>
      <c r="H57" s="114"/>
      <c r="I57" s="114"/>
      <c r="J57" s="114"/>
      <c r="K57" s="116"/>
      <c r="L57" s="104"/>
      <c r="M57" s="106"/>
      <c r="N57" s="106"/>
      <c r="O57" s="155"/>
      <c r="P57" s="109"/>
      <c r="Q57" s="156"/>
      <c r="R57" s="102"/>
      <c r="S57" s="148"/>
    </row>
    <row r="58" spans="1:19" ht="15.75" hidden="1" customHeight="1" x14ac:dyDescent="0.25">
      <c r="A58" s="57">
        <v>45536</v>
      </c>
      <c r="B58" s="111">
        <v>11240.77</v>
      </c>
      <c r="C58" s="111">
        <v>3352.52</v>
      </c>
      <c r="D58" s="59" t="s">
        <v>19</v>
      </c>
      <c r="E58" s="111" t="s">
        <v>23</v>
      </c>
      <c r="F58" s="113">
        <f>10261+9453</f>
        <v>19714</v>
      </c>
      <c r="G58" s="113">
        <f>18749+1482+480</f>
        <v>20711</v>
      </c>
      <c r="H58" s="113">
        <f>15+89+15+15+15+15</f>
        <v>164</v>
      </c>
      <c r="I58" s="113">
        <f>F58-(G58+H58)</f>
        <v>-1161</v>
      </c>
      <c r="J58" s="113">
        <f t="shared" ref="J58" si="46">I58</f>
        <v>-1161</v>
      </c>
      <c r="K58" s="115" t="s">
        <v>95</v>
      </c>
      <c r="L58" s="103">
        <f t="shared" ref="L58" si="47">IF(J58&lt;0,0,I58)</f>
        <v>0</v>
      </c>
      <c r="M58" s="105"/>
      <c r="N58" s="105"/>
      <c r="O58" s="154">
        <v>3360.5079999999998</v>
      </c>
      <c r="P58" s="99">
        <f>O58*O3</f>
        <v>17508.24668</v>
      </c>
      <c r="Q58" s="119">
        <f t="shared" ref="Q58" si="48">L58-O58</f>
        <v>-3360.5079999999998</v>
      </c>
      <c r="R58" s="101"/>
      <c r="S58" s="146">
        <f>Q58*O3</f>
        <v>-17508.24668</v>
      </c>
    </row>
    <row r="59" spans="1:19" ht="15.75" hidden="1" customHeight="1" x14ac:dyDescent="0.25">
      <c r="A59" s="57">
        <v>45536</v>
      </c>
      <c r="B59" s="112"/>
      <c r="C59" s="112"/>
      <c r="D59" s="59" t="s">
        <v>20</v>
      </c>
      <c r="E59" s="112"/>
      <c r="F59" s="114"/>
      <c r="G59" s="114"/>
      <c r="H59" s="114"/>
      <c r="I59" s="114"/>
      <c r="J59" s="114"/>
      <c r="K59" s="116"/>
      <c r="L59" s="104"/>
      <c r="M59" s="106"/>
      <c r="N59" s="106"/>
      <c r="O59" s="155"/>
      <c r="P59" s="109"/>
      <c r="Q59" s="156"/>
      <c r="R59" s="102"/>
      <c r="S59" s="148"/>
    </row>
    <row r="60" spans="1:19" ht="15.75" hidden="1" customHeight="1" x14ac:dyDescent="0.25">
      <c r="A60" s="57">
        <v>45566</v>
      </c>
      <c r="B60" s="111">
        <v>11241.77</v>
      </c>
      <c r="C60" s="111">
        <v>3353.52</v>
      </c>
      <c r="D60" s="59" t="s">
        <v>19</v>
      </c>
      <c r="E60" s="111" t="s">
        <v>23</v>
      </c>
      <c r="F60" s="113">
        <f>12264+11533</f>
        <v>23797</v>
      </c>
      <c r="G60" s="113">
        <f>15732+1182+392</f>
        <v>17306</v>
      </c>
      <c r="H60" s="113">
        <f>15+89+15+15+15+15</f>
        <v>164</v>
      </c>
      <c r="I60" s="113">
        <f t="shared" ref="I60" si="49">F60-(G60+H60)</f>
        <v>6327</v>
      </c>
      <c r="J60" s="113">
        <f>I60</f>
        <v>6327</v>
      </c>
      <c r="K60" s="115" t="s">
        <v>96</v>
      </c>
      <c r="L60" s="103">
        <f t="shared" ref="L60" si="50">IF(J60&lt;0,0,I60)</f>
        <v>6327</v>
      </c>
      <c r="M60" s="105"/>
      <c r="N60" s="105"/>
      <c r="O60" s="154">
        <v>3360.5079999999998</v>
      </c>
      <c r="P60" s="99">
        <f>O60*O3</f>
        <v>17508.24668</v>
      </c>
      <c r="Q60" s="119"/>
      <c r="R60" s="119">
        <f>L60-O60</f>
        <v>2966.4920000000002</v>
      </c>
      <c r="S60" s="146">
        <f>R60*O3</f>
        <v>15455.423320000002</v>
      </c>
    </row>
    <row r="61" spans="1:19" ht="15.75" hidden="1" customHeight="1" x14ac:dyDescent="0.25">
      <c r="A61" s="57">
        <v>45566</v>
      </c>
      <c r="B61" s="112"/>
      <c r="C61" s="112"/>
      <c r="D61" s="59" t="s">
        <v>20</v>
      </c>
      <c r="E61" s="112"/>
      <c r="F61" s="114"/>
      <c r="G61" s="114"/>
      <c r="H61" s="114"/>
      <c r="I61" s="114"/>
      <c r="J61" s="114"/>
      <c r="K61" s="116"/>
      <c r="L61" s="104"/>
      <c r="M61" s="106"/>
      <c r="N61" s="106"/>
      <c r="O61" s="155"/>
      <c r="P61" s="109"/>
      <c r="Q61" s="156"/>
      <c r="R61" s="156"/>
      <c r="S61" s="148"/>
    </row>
    <row r="62" spans="1:19" ht="15.75" hidden="1" customHeight="1" x14ac:dyDescent="0.25">
      <c r="A62" s="57">
        <v>45597</v>
      </c>
      <c r="B62" s="111">
        <v>11242.77</v>
      </c>
      <c r="C62" s="111">
        <v>3354.52</v>
      </c>
      <c r="D62" s="59" t="s">
        <v>19</v>
      </c>
      <c r="E62" s="111" t="s">
        <v>23</v>
      </c>
      <c r="F62" s="113">
        <f>11235+10336</f>
        <v>21571</v>
      </c>
      <c r="G62" s="113">
        <f>19924+1127+358</f>
        <v>21409</v>
      </c>
      <c r="H62" s="113">
        <f>15+88+15+15+15+15</f>
        <v>163</v>
      </c>
      <c r="I62" s="113">
        <f t="shared" ref="I62" si="51">F62-(G62+H62)</f>
        <v>-1</v>
      </c>
      <c r="J62" s="113">
        <f>I62</f>
        <v>-1</v>
      </c>
      <c r="K62" s="115" t="s">
        <v>97</v>
      </c>
      <c r="L62" s="103">
        <f t="shared" ref="L62" si="52">IF(J62&lt;0,0,I62)</f>
        <v>0</v>
      </c>
      <c r="M62" s="105"/>
      <c r="N62" s="105"/>
      <c r="O62" s="154">
        <v>3360.5079999999998</v>
      </c>
      <c r="P62" s="99">
        <f>O62*O3</f>
        <v>17508.24668</v>
      </c>
      <c r="Q62" s="119">
        <f t="shared" ref="Q62" si="53">L62-O62</f>
        <v>-3360.5079999999998</v>
      </c>
      <c r="R62" s="101"/>
      <c r="S62" s="146">
        <f>Q62*O3</f>
        <v>-17508.24668</v>
      </c>
    </row>
    <row r="63" spans="1:19" ht="15.75" hidden="1" customHeight="1" x14ac:dyDescent="0.25">
      <c r="A63" s="57">
        <v>45597</v>
      </c>
      <c r="B63" s="112"/>
      <c r="C63" s="112"/>
      <c r="D63" s="59" t="s">
        <v>20</v>
      </c>
      <c r="E63" s="112"/>
      <c r="F63" s="114"/>
      <c r="G63" s="114"/>
      <c r="H63" s="114"/>
      <c r="I63" s="114"/>
      <c r="J63" s="114"/>
      <c r="K63" s="116"/>
      <c r="L63" s="104"/>
      <c r="M63" s="106"/>
      <c r="N63" s="106"/>
      <c r="O63" s="155"/>
      <c r="P63" s="109"/>
      <c r="Q63" s="156"/>
      <c r="R63" s="102"/>
      <c r="S63" s="148"/>
    </row>
    <row r="64" spans="1:19" ht="15.75" hidden="1" customHeight="1" x14ac:dyDescent="0.25">
      <c r="A64" s="57">
        <v>45627</v>
      </c>
      <c r="B64" s="111">
        <v>11243.77</v>
      </c>
      <c r="C64" s="111">
        <v>3355.52</v>
      </c>
      <c r="D64" s="59" t="s">
        <v>19</v>
      </c>
      <c r="E64" s="111" t="s">
        <v>23</v>
      </c>
      <c r="F64" s="113">
        <f>11955+11358</f>
        <v>23313</v>
      </c>
      <c r="G64" s="113">
        <f>17705+1293+340</f>
        <v>19338</v>
      </c>
      <c r="H64" s="113">
        <f>15+89+15+15+15+15</f>
        <v>164</v>
      </c>
      <c r="I64" s="113">
        <f t="shared" ref="I64" si="54">F64-(G64+H64)</f>
        <v>3811</v>
      </c>
      <c r="J64" s="113">
        <f>I64</f>
        <v>3811</v>
      </c>
      <c r="K64" s="115" t="s">
        <v>98</v>
      </c>
      <c r="L64" s="103">
        <f t="shared" ref="L64" si="55">IF(J64&lt;0,0,I64)</f>
        <v>3811</v>
      </c>
      <c r="M64" s="105"/>
      <c r="N64" s="105"/>
      <c r="O64" s="154">
        <v>3360.5079999999998</v>
      </c>
      <c r="P64" s="99">
        <f>O64*O3</f>
        <v>17508.24668</v>
      </c>
      <c r="Q64" s="119"/>
      <c r="R64" s="119">
        <f>L64-O64</f>
        <v>450.49200000000019</v>
      </c>
      <c r="S64" s="146">
        <f>R64*O3</f>
        <v>2347.0633200000011</v>
      </c>
    </row>
    <row r="65" spans="1:19" ht="15.75" hidden="1" customHeight="1" x14ac:dyDescent="0.25">
      <c r="A65" s="57">
        <v>45627</v>
      </c>
      <c r="B65" s="112"/>
      <c r="C65" s="112"/>
      <c r="D65" s="59" t="s">
        <v>20</v>
      </c>
      <c r="E65" s="112"/>
      <c r="F65" s="114"/>
      <c r="G65" s="114"/>
      <c r="H65" s="114"/>
      <c r="I65" s="114"/>
      <c r="J65" s="114"/>
      <c r="K65" s="116"/>
      <c r="L65" s="104"/>
      <c r="M65" s="106"/>
      <c r="N65" s="106"/>
      <c r="O65" s="155"/>
      <c r="P65" s="109"/>
      <c r="Q65" s="156"/>
      <c r="R65" s="156"/>
      <c r="S65" s="148"/>
    </row>
    <row r="66" spans="1:19" s="20" customFormat="1" ht="31.5" hidden="1" customHeight="1" x14ac:dyDescent="0.25">
      <c r="A66" s="75"/>
      <c r="K66" s="91"/>
      <c r="L66" s="20">
        <f>SUM(L42:L65)</f>
        <v>34775</v>
      </c>
      <c r="O66" s="20">
        <f>SUM(O42:O65)</f>
        <v>40326.096000000012</v>
      </c>
      <c r="P66" s="20">
        <f>SUM(P42:P65)</f>
        <v>201630.48000000004</v>
      </c>
      <c r="R66" s="20">
        <f>SUM(Q42:R53)</f>
        <v>-9850.0479999999989</v>
      </c>
      <c r="S66" s="20">
        <f>SUM(S42:S65)</f>
        <v>-24784.189999999991</v>
      </c>
    </row>
    <row r="67" spans="1:19" s="20" customFormat="1" ht="31.5" hidden="1" customHeight="1" x14ac:dyDescent="0.25">
      <c r="A67" s="75"/>
      <c r="L67" s="20">
        <f>L66*P30</f>
        <v>0</v>
      </c>
      <c r="R67" s="20">
        <f>SUM(Q54:R65)</f>
        <v>4298.9520000000011</v>
      </c>
    </row>
    <row r="68" spans="1:19" hidden="1" x14ac:dyDescent="0.25">
      <c r="R68">
        <f>SUM(Q55:R66)</f>
        <v>-16514.587999999996</v>
      </c>
    </row>
    <row r="69" spans="1:19" hidden="1" x14ac:dyDescent="0.25"/>
    <row r="70" spans="1:19" ht="15.75" customHeight="1" x14ac:dyDescent="0.25">
      <c r="A70" s="57">
        <v>45658</v>
      </c>
      <c r="B70" s="111">
        <v>11232.77</v>
      </c>
      <c r="C70" s="111">
        <v>3344.52</v>
      </c>
      <c r="D70" s="59" t="s">
        <v>19</v>
      </c>
      <c r="E70" s="111" t="s">
        <v>23</v>
      </c>
      <c r="F70" s="113">
        <f>11706+10737</f>
        <v>22443</v>
      </c>
      <c r="G70" s="113">
        <f>20483+1311+375</f>
        <v>22169</v>
      </c>
      <c r="H70" s="113">
        <f>15+89+15+15+15+15</f>
        <v>164</v>
      </c>
      <c r="I70" s="113">
        <f>F70-(G70+H70)</f>
        <v>110</v>
      </c>
      <c r="J70" s="113">
        <f>I70</f>
        <v>110</v>
      </c>
      <c r="K70" s="115" t="s">
        <v>103</v>
      </c>
      <c r="L70" s="103">
        <f>IF(J70&lt;0,0,I70)</f>
        <v>110</v>
      </c>
      <c r="M70" s="105"/>
      <c r="N70" s="105"/>
      <c r="O70" s="154">
        <v>3360.5079999999998</v>
      </c>
      <c r="P70" s="99">
        <f>O70*R2</f>
        <v>17508.24668</v>
      </c>
      <c r="Q70" s="119">
        <f>L70-O70</f>
        <v>-3250.5079999999998</v>
      </c>
      <c r="R70" s="101"/>
      <c r="S70" s="146">
        <f>Q70*R2</f>
        <v>-16935.146679999998</v>
      </c>
    </row>
    <row r="71" spans="1:19" ht="15.75" customHeight="1" x14ac:dyDescent="0.25">
      <c r="A71" s="57">
        <v>45658</v>
      </c>
      <c r="B71" s="112"/>
      <c r="C71" s="112"/>
      <c r="D71" s="59" t="s">
        <v>20</v>
      </c>
      <c r="E71" s="112"/>
      <c r="F71" s="114"/>
      <c r="G71" s="114"/>
      <c r="H71" s="114"/>
      <c r="I71" s="114"/>
      <c r="J71" s="114"/>
      <c r="K71" s="116"/>
      <c r="L71" s="104"/>
      <c r="M71" s="106"/>
      <c r="N71" s="106"/>
      <c r="O71" s="155"/>
      <c r="P71" s="109"/>
      <c r="Q71" s="156"/>
      <c r="R71" s="102"/>
      <c r="S71" s="148"/>
    </row>
    <row r="72" spans="1:19" ht="15.75" customHeight="1" x14ac:dyDescent="0.25">
      <c r="A72" s="57">
        <v>45689</v>
      </c>
      <c r="B72" s="111">
        <v>11233.77</v>
      </c>
      <c r="C72" s="111">
        <v>3345.52</v>
      </c>
      <c r="D72" s="59" t="s">
        <v>19</v>
      </c>
      <c r="E72" s="111" t="s">
        <v>23</v>
      </c>
      <c r="F72" s="113">
        <f>12971+12573</f>
        <v>25544</v>
      </c>
      <c r="G72" s="113">
        <f>18998+1140+335</f>
        <v>20473</v>
      </c>
      <c r="H72" s="113">
        <f>15+89+15+15+15+15</f>
        <v>164</v>
      </c>
      <c r="I72" s="113">
        <f t="shared" ref="I72" si="56">F72-(G72+H72)</f>
        <v>4907</v>
      </c>
      <c r="J72" s="113">
        <f>I72</f>
        <v>4907</v>
      </c>
      <c r="K72" s="115" t="s">
        <v>104</v>
      </c>
      <c r="L72" s="103">
        <f>IF(J72&lt;0,0,I72)</f>
        <v>4907</v>
      </c>
      <c r="M72" s="105"/>
      <c r="N72" s="105"/>
      <c r="O72" s="154">
        <v>3360.5079999999998</v>
      </c>
      <c r="P72" s="99">
        <f>O72*R2</f>
        <v>17508.24668</v>
      </c>
      <c r="Q72" s="119"/>
      <c r="R72" s="101">
        <f>L72-O72</f>
        <v>1546.4920000000002</v>
      </c>
      <c r="S72" s="146">
        <f>R72*R2</f>
        <v>8057.223320000001</v>
      </c>
    </row>
    <row r="73" spans="1:19" ht="15.75" customHeight="1" x14ac:dyDescent="0.25">
      <c r="A73" s="57">
        <v>45689</v>
      </c>
      <c r="B73" s="112"/>
      <c r="C73" s="112"/>
      <c r="D73" s="59" t="s">
        <v>20</v>
      </c>
      <c r="E73" s="112"/>
      <c r="F73" s="114"/>
      <c r="G73" s="114"/>
      <c r="H73" s="114"/>
      <c r="I73" s="114"/>
      <c r="J73" s="114"/>
      <c r="K73" s="116"/>
      <c r="L73" s="104"/>
      <c r="M73" s="106"/>
      <c r="N73" s="106"/>
      <c r="O73" s="155"/>
      <c r="P73" s="109"/>
      <c r="Q73" s="156"/>
      <c r="R73" s="102"/>
      <c r="S73" s="148"/>
    </row>
    <row r="74" spans="1:19" ht="15.75" customHeight="1" x14ac:dyDescent="0.25">
      <c r="A74" s="57">
        <v>45717</v>
      </c>
      <c r="B74" s="111">
        <v>11234.77</v>
      </c>
      <c r="C74" s="111">
        <v>3346.52</v>
      </c>
      <c r="D74" s="59" t="s">
        <v>19</v>
      </c>
      <c r="E74" s="111" t="s">
        <v>23</v>
      </c>
      <c r="F74" s="113">
        <f>10556+9624</f>
        <v>20180</v>
      </c>
      <c r="G74" s="113">
        <f>19076+1313+369</f>
        <v>20758</v>
      </c>
      <c r="H74" s="113">
        <f>15+89+15+15+15+15</f>
        <v>164</v>
      </c>
      <c r="I74" s="113">
        <f>F74-(G74+H74)</f>
        <v>-742</v>
      </c>
      <c r="J74" s="113">
        <f>I74</f>
        <v>-742</v>
      </c>
      <c r="K74" s="115" t="s">
        <v>105</v>
      </c>
      <c r="L74" s="103">
        <f>IF(J74&lt;0,0,I74)</f>
        <v>0</v>
      </c>
      <c r="M74" s="105"/>
      <c r="N74" s="105"/>
      <c r="O74" s="154">
        <v>3360.5079999999998</v>
      </c>
      <c r="P74" s="99">
        <f>O74*R6</f>
        <v>60489.144</v>
      </c>
      <c r="Q74" s="119">
        <f t="shared" ref="Q74" si="57">L74-O74</f>
        <v>-3360.5079999999998</v>
      </c>
      <c r="R74" s="101"/>
      <c r="S74" s="146">
        <f>Q74*R2</f>
        <v>-17508.24668</v>
      </c>
    </row>
    <row r="75" spans="1:19" ht="15.75" customHeight="1" x14ac:dyDescent="0.25">
      <c r="A75" s="57">
        <v>45717</v>
      </c>
      <c r="B75" s="112"/>
      <c r="C75" s="112"/>
      <c r="D75" s="59" t="s">
        <v>20</v>
      </c>
      <c r="E75" s="112"/>
      <c r="F75" s="114"/>
      <c r="G75" s="114"/>
      <c r="H75" s="114"/>
      <c r="I75" s="114"/>
      <c r="J75" s="114"/>
      <c r="K75" s="116"/>
      <c r="L75" s="104"/>
      <c r="M75" s="106"/>
      <c r="N75" s="106"/>
      <c r="O75" s="155"/>
      <c r="P75" s="109"/>
      <c r="Q75" s="156"/>
      <c r="R75" s="102"/>
      <c r="S75" s="148"/>
    </row>
    <row r="76" spans="1:19" ht="15.75" customHeight="1" x14ac:dyDescent="0.25">
      <c r="A76" s="57">
        <v>45748</v>
      </c>
      <c r="B76" s="111">
        <v>11235.77</v>
      </c>
      <c r="C76" s="111">
        <v>3347.52</v>
      </c>
      <c r="D76" s="59" t="s">
        <v>19</v>
      </c>
      <c r="E76" s="111" t="s">
        <v>23</v>
      </c>
      <c r="F76" s="113">
        <f>11239+10309</f>
        <v>21548</v>
      </c>
      <c r="G76" s="113">
        <f>16946+1083+341</f>
        <v>18370</v>
      </c>
      <c r="H76" s="113">
        <f>15+89+15+15+15+15</f>
        <v>164</v>
      </c>
      <c r="I76" s="113">
        <f>F76-(G76+H76)</f>
        <v>3014</v>
      </c>
      <c r="J76" s="113">
        <f>I76+J74</f>
        <v>2272</v>
      </c>
      <c r="K76" s="115" t="s">
        <v>106</v>
      </c>
      <c r="L76" s="103">
        <f>I76+J74</f>
        <v>2272</v>
      </c>
      <c r="M76" s="105"/>
      <c r="N76" s="105"/>
      <c r="O76" s="154">
        <v>3360.5079999999998</v>
      </c>
      <c r="P76" s="99">
        <f>O76*R2</f>
        <v>17508.24668</v>
      </c>
      <c r="Q76" s="119">
        <f t="shared" ref="Q76" si="58">L76-O76</f>
        <v>-1088.5079999999998</v>
      </c>
      <c r="R76" s="101"/>
      <c r="S76" s="146">
        <f>Q76*R2</f>
        <v>-5671.1266799999994</v>
      </c>
    </row>
    <row r="77" spans="1:19" ht="15.75" customHeight="1" x14ac:dyDescent="0.25">
      <c r="A77" s="57">
        <v>45748</v>
      </c>
      <c r="B77" s="112"/>
      <c r="C77" s="112"/>
      <c r="D77" s="59" t="s">
        <v>20</v>
      </c>
      <c r="E77" s="112"/>
      <c r="F77" s="114"/>
      <c r="G77" s="114"/>
      <c r="H77" s="114"/>
      <c r="I77" s="114"/>
      <c r="J77" s="114"/>
      <c r="K77" s="116"/>
      <c r="L77" s="104"/>
      <c r="M77" s="106"/>
      <c r="N77" s="106"/>
      <c r="O77" s="155"/>
      <c r="P77" s="109"/>
      <c r="Q77" s="156"/>
      <c r="R77" s="102"/>
      <c r="S77" s="148"/>
    </row>
    <row r="78" spans="1:19" ht="15.75" customHeight="1" x14ac:dyDescent="0.25">
      <c r="A78" s="57">
        <v>45778</v>
      </c>
      <c r="B78" s="111">
        <v>11236.77</v>
      </c>
      <c r="C78" s="111">
        <v>3348.52</v>
      </c>
      <c r="D78" s="59" t="s">
        <v>19</v>
      </c>
      <c r="E78" s="111" t="s">
        <v>23</v>
      </c>
      <c r="F78" s="113">
        <f>10601+9790</f>
        <v>20391</v>
      </c>
      <c r="G78" s="113">
        <f>17751+1275+410</f>
        <v>19436</v>
      </c>
      <c r="H78" s="113">
        <f>15+89+15+15+15+15</f>
        <v>164</v>
      </c>
      <c r="I78" s="113">
        <f>F78-(G78+H78)</f>
        <v>791</v>
      </c>
      <c r="J78" s="113">
        <f>I78</f>
        <v>791</v>
      </c>
      <c r="K78" s="115" t="s">
        <v>107</v>
      </c>
      <c r="L78" s="103">
        <f>IF(J78&lt;0,0,I78)</f>
        <v>791</v>
      </c>
      <c r="M78" s="105"/>
      <c r="N78" s="105"/>
      <c r="O78" s="154">
        <v>3360.5079999999998</v>
      </c>
      <c r="P78" s="99">
        <f>O78*R2</f>
        <v>17508.24668</v>
      </c>
      <c r="Q78" s="119">
        <f t="shared" ref="Q78" si="59">L78-O78</f>
        <v>-2569.5079999999998</v>
      </c>
      <c r="R78" s="101"/>
      <c r="S78" s="146">
        <f>Q78*R2</f>
        <v>-13387.13668</v>
      </c>
    </row>
    <row r="79" spans="1:19" ht="15.75" customHeight="1" x14ac:dyDescent="0.25">
      <c r="A79" s="57">
        <v>45778</v>
      </c>
      <c r="B79" s="112"/>
      <c r="C79" s="112"/>
      <c r="D79" s="59" t="s">
        <v>20</v>
      </c>
      <c r="E79" s="112"/>
      <c r="F79" s="114"/>
      <c r="G79" s="114"/>
      <c r="H79" s="114"/>
      <c r="I79" s="114"/>
      <c r="J79" s="114"/>
      <c r="K79" s="116"/>
      <c r="L79" s="104"/>
      <c r="M79" s="106"/>
      <c r="N79" s="106"/>
      <c r="O79" s="155"/>
      <c r="P79" s="109"/>
      <c r="Q79" s="156"/>
      <c r="R79" s="102"/>
      <c r="S79" s="148"/>
    </row>
    <row r="80" spans="1:19" ht="15.75" customHeight="1" x14ac:dyDescent="0.25">
      <c r="A80" s="57">
        <v>45809</v>
      </c>
      <c r="B80" s="111">
        <v>11237.77</v>
      </c>
      <c r="C80" s="111">
        <v>3349.52</v>
      </c>
      <c r="D80" s="59" t="s">
        <v>19</v>
      </c>
      <c r="E80" s="111" t="s">
        <v>23</v>
      </c>
      <c r="F80" s="113">
        <f>11924+11203</f>
        <v>23127</v>
      </c>
      <c r="G80" s="113">
        <f>19714+1484+329</f>
        <v>21527</v>
      </c>
      <c r="H80" s="113">
        <f>15+89+15+15+15+15</f>
        <v>164</v>
      </c>
      <c r="I80" s="113">
        <f>F80-(G80+H80)</f>
        <v>1436</v>
      </c>
      <c r="J80" s="113">
        <f>I80</f>
        <v>1436</v>
      </c>
      <c r="K80" s="115" t="s">
        <v>108</v>
      </c>
      <c r="L80" s="103">
        <f>IF(J80&lt;0,0,I80)</f>
        <v>1436</v>
      </c>
      <c r="M80" s="105"/>
      <c r="N80" s="105"/>
      <c r="O80" s="154">
        <v>3360.5079999999998</v>
      </c>
      <c r="P80" s="99">
        <f>O80*R2</f>
        <v>17508.24668</v>
      </c>
      <c r="Q80" s="119">
        <f>L80-O80</f>
        <v>-1924.5079999999998</v>
      </c>
      <c r="R80" s="101"/>
      <c r="S80" s="146">
        <f>Q80*R2</f>
        <v>-10026.686679999999</v>
      </c>
    </row>
    <row r="81" spans="1:19" ht="15.75" customHeight="1" x14ac:dyDescent="0.25">
      <c r="A81" s="57">
        <v>45809</v>
      </c>
      <c r="B81" s="112"/>
      <c r="C81" s="112"/>
      <c r="D81" s="59" t="s">
        <v>20</v>
      </c>
      <c r="E81" s="112"/>
      <c r="F81" s="114"/>
      <c r="G81" s="114"/>
      <c r="H81" s="114"/>
      <c r="I81" s="114"/>
      <c r="J81" s="114"/>
      <c r="K81" s="116"/>
      <c r="L81" s="104"/>
      <c r="M81" s="106"/>
      <c r="N81" s="106"/>
      <c r="O81" s="155"/>
      <c r="P81" s="109"/>
      <c r="Q81" s="156"/>
      <c r="R81" s="102"/>
      <c r="S81" s="148"/>
    </row>
    <row r="82" spans="1:19" ht="15.75" customHeight="1" x14ac:dyDescent="0.25">
      <c r="A82" s="57">
        <v>45839</v>
      </c>
      <c r="B82" s="111">
        <v>11238.77</v>
      </c>
      <c r="C82" s="111">
        <v>3350.52</v>
      </c>
      <c r="D82" s="59" t="s">
        <v>19</v>
      </c>
      <c r="E82" s="111" t="s">
        <v>23</v>
      </c>
      <c r="F82" s="113">
        <f>9998+9351</f>
        <v>19349</v>
      </c>
      <c r="G82" s="113">
        <f>19627+1004+338</f>
        <v>20969</v>
      </c>
      <c r="H82" s="113">
        <f>15+89+15+15+15+15</f>
        <v>164</v>
      </c>
      <c r="I82" s="113">
        <f>F82-(G82+H82)</f>
        <v>-1784</v>
      </c>
      <c r="J82" s="113">
        <f t="shared" ref="J82" si="60">I82</f>
        <v>-1784</v>
      </c>
      <c r="K82" s="115" t="s">
        <v>109</v>
      </c>
      <c r="L82" s="103">
        <f t="shared" ref="L82" si="61">IF(J82&lt;0,0,I82)</f>
        <v>0</v>
      </c>
      <c r="M82" s="105"/>
      <c r="N82" s="105"/>
      <c r="O82" s="154">
        <v>3360.5079999999998</v>
      </c>
      <c r="P82" s="99">
        <f>O82*R3</f>
        <v>19692.576880000001</v>
      </c>
      <c r="Q82" s="119">
        <f>L82-O82</f>
        <v>-3360.5079999999998</v>
      </c>
      <c r="R82" s="101"/>
      <c r="S82" s="146">
        <f>Q82*R3</f>
        <v>-19692.576880000001</v>
      </c>
    </row>
    <row r="83" spans="1:19" ht="15.75" customHeight="1" x14ac:dyDescent="0.25">
      <c r="A83" s="57">
        <v>45839</v>
      </c>
      <c r="B83" s="112"/>
      <c r="C83" s="112"/>
      <c r="D83" s="59" t="s">
        <v>20</v>
      </c>
      <c r="E83" s="112"/>
      <c r="F83" s="114"/>
      <c r="G83" s="114"/>
      <c r="H83" s="114"/>
      <c r="I83" s="114"/>
      <c r="J83" s="114"/>
      <c r="K83" s="116"/>
      <c r="L83" s="104"/>
      <c r="M83" s="106"/>
      <c r="N83" s="106"/>
      <c r="O83" s="155"/>
      <c r="P83" s="109"/>
      <c r="Q83" s="156"/>
      <c r="R83" s="102"/>
      <c r="S83" s="148"/>
    </row>
    <row r="84" spans="1:19" ht="15.75" customHeight="1" x14ac:dyDescent="0.25">
      <c r="A84" s="57">
        <v>45870</v>
      </c>
      <c r="B84" s="111">
        <v>11239.77</v>
      </c>
      <c r="C84" s="111">
        <v>3351.52</v>
      </c>
      <c r="D84" s="59" t="s">
        <v>19</v>
      </c>
      <c r="E84" s="111" t="s">
        <v>23</v>
      </c>
      <c r="F84" s="113">
        <f>11240+10502</f>
        <v>21742</v>
      </c>
      <c r="G84" s="113">
        <f>17265+1143+362</f>
        <v>18770</v>
      </c>
      <c r="H84" s="113">
        <f>15+89+15+15+15+15</f>
        <v>164</v>
      </c>
      <c r="I84" s="113">
        <f t="shared" ref="I84" si="62">F84-(G84+H84)</f>
        <v>2808</v>
      </c>
      <c r="J84" s="113">
        <f>I84+J82</f>
        <v>1024</v>
      </c>
      <c r="K84" s="115" t="s">
        <v>113</v>
      </c>
      <c r="L84" s="103">
        <f>J84</f>
        <v>1024</v>
      </c>
      <c r="M84" s="105"/>
      <c r="N84" s="105"/>
      <c r="O84" s="154">
        <v>3360.5079999999998</v>
      </c>
      <c r="P84" s="99">
        <f>O84*R3</f>
        <v>19692.576880000001</v>
      </c>
      <c r="Q84" s="119">
        <f t="shared" ref="Q84" si="63">L84-O84</f>
        <v>-2336.5079999999998</v>
      </c>
      <c r="R84" s="101"/>
      <c r="S84" s="146">
        <f>Q84*R3</f>
        <v>-13691.936879999999</v>
      </c>
    </row>
    <row r="85" spans="1:19" ht="15.75" customHeight="1" x14ac:dyDescent="0.25">
      <c r="A85" s="57">
        <v>45870</v>
      </c>
      <c r="B85" s="112"/>
      <c r="C85" s="112"/>
      <c r="D85" s="59" t="s">
        <v>20</v>
      </c>
      <c r="E85" s="112"/>
      <c r="F85" s="114"/>
      <c r="G85" s="114"/>
      <c r="H85" s="114"/>
      <c r="I85" s="114"/>
      <c r="J85" s="114"/>
      <c r="K85" s="116"/>
      <c r="L85" s="104"/>
      <c r="M85" s="106"/>
      <c r="N85" s="106"/>
      <c r="O85" s="155"/>
      <c r="P85" s="109"/>
      <c r="Q85" s="156"/>
      <c r="R85" s="102"/>
      <c r="S85" s="148"/>
    </row>
    <row r="86" spans="1:19" ht="15.75" customHeight="1" x14ac:dyDescent="0.25">
      <c r="A86" s="57">
        <v>45901</v>
      </c>
      <c r="B86" s="111">
        <v>11240.77</v>
      </c>
      <c r="C86" s="111">
        <v>3352.52</v>
      </c>
      <c r="D86" s="59" t="s">
        <v>19</v>
      </c>
      <c r="E86" s="111" t="s">
        <v>23</v>
      </c>
      <c r="F86" s="113">
        <f>10640+10755</f>
        <v>21395</v>
      </c>
      <c r="G86" s="113">
        <f>18738+998+309</f>
        <v>20045</v>
      </c>
      <c r="H86" s="113">
        <f>15+89+15+15+15+15</f>
        <v>164</v>
      </c>
      <c r="I86" s="113">
        <f>F86-(G86+H86)</f>
        <v>1186</v>
      </c>
      <c r="J86" s="113">
        <f t="shared" ref="J86" si="64">I86</f>
        <v>1186</v>
      </c>
      <c r="K86" s="115" t="s">
        <v>110</v>
      </c>
      <c r="L86" s="103">
        <f t="shared" ref="L86" si="65">IF(J86&lt;0,0,I86)</f>
        <v>1186</v>
      </c>
      <c r="M86" s="105"/>
      <c r="N86" s="105"/>
      <c r="O86" s="154">
        <v>3360.5079999999998</v>
      </c>
      <c r="P86" s="99">
        <f>O86*R3</f>
        <v>19692.576880000001</v>
      </c>
      <c r="Q86" s="119">
        <f t="shared" ref="Q86" si="66">L86-O86</f>
        <v>-2174.5079999999998</v>
      </c>
      <c r="R86" s="101"/>
      <c r="S86" s="146">
        <f>Q86*R3</f>
        <v>-12742.61688</v>
      </c>
    </row>
    <row r="87" spans="1:19" ht="15.75" customHeight="1" x14ac:dyDescent="0.25">
      <c r="A87" s="57">
        <v>45901</v>
      </c>
      <c r="B87" s="112"/>
      <c r="C87" s="112"/>
      <c r="D87" s="59" t="s">
        <v>20</v>
      </c>
      <c r="E87" s="112"/>
      <c r="F87" s="114"/>
      <c r="G87" s="114"/>
      <c r="H87" s="114"/>
      <c r="I87" s="114"/>
      <c r="J87" s="114"/>
      <c r="K87" s="116"/>
      <c r="L87" s="104"/>
      <c r="M87" s="106"/>
      <c r="N87" s="106"/>
      <c r="O87" s="155"/>
      <c r="P87" s="109"/>
      <c r="Q87" s="156"/>
      <c r="R87" s="102"/>
      <c r="S87" s="148"/>
    </row>
    <row r="88" spans="1:19" ht="15.75" customHeight="1" x14ac:dyDescent="0.25">
      <c r="A88" s="57">
        <v>45931</v>
      </c>
      <c r="B88" s="111">
        <v>11241.77</v>
      </c>
      <c r="C88" s="111">
        <v>3353.52</v>
      </c>
      <c r="D88" s="59" t="s">
        <v>19</v>
      </c>
      <c r="E88" s="111" t="s">
        <v>23</v>
      </c>
      <c r="F88" s="113">
        <f>11643+11624</f>
        <v>23267</v>
      </c>
      <c r="G88" s="113">
        <f>17359+1007+318</f>
        <v>18684</v>
      </c>
      <c r="H88" s="113">
        <f>15+89+15+15+15+15</f>
        <v>164</v>
      </c>
      <c r="I88" s="113">
        <f t="shared" ref="I88" si="67">F88-(G88+H88)</f>
        <v>4419</v>
      </c>
      <c r="J88" s="113">
        <f>I88</f>
        <v>4419</v>
      </c>
      <c r="K88" s="115" t="s">
        <v>111</v>
      </c>
      <c r="L88" s="103">
        <f t="shared" ref="L88" si="68">IF(J88&lt;0,0,I88)</f>
        <v>4419</v>
      </c>
      <c r="M88" s="105"/>
      <c r="N88" s="105"/>
      <c r="O88" s="154">
        <v>3360.5079999999998</v>
      </c>
      <c r="P88" s="99">
        <f>O88*R3</f>
        <v>19692.576880000001</v>
      </c>
      <c r="Q88" s="119"/>
      <c r="R88" s="119">
        <f>L88-O88</f>
        <v>1058.4920000000002</v>
      </c>
      <c r="S88" s="146">
        <f>R88*R3</f>
        <v>6202.7631200000014</v>
      </c>
    </row>
    <row r="89" spans="1:19" ht="15.75" customHeight="1" x14ac:dyDescent="0.25">
      <c r="A89" s="57">
        <v>45931</v>
      </c>
      <c r="B89" s="112"/>
      <c r="C89" s="112"/>
      <c r="D89" s="59" t="s">
        <v>20</v>
      </c>
      <c r="E89" s="112"/>
      <c r="F89" s="114"/>
      <c r="G89" s="114"/>
      <c r="H89" s="114"/>
      <c r="I89" s="114"/>
      <c r="J89" s="114"/>
      <c r="K89" s="116"/>
      <c r="L89" s="104"/>
      <c r="M89" s="106"/>
      <c r="N89" s="106"/>
      <c r="O89" s="155"/>
      <c r="P89" s="109"/>
      <c r="Q89" s="156"/>
      <c r="R89" s="156"/>
      <c r="S89" s="148"/>
    </row>
    <row r="90" spans="1:19" ht="15.75" customHeight="1" x14ac:dyDescent="0.25">
      <c r="A90" s="57">
        <v>45962</v>
      </c>
      <c r="B90" s="111">
        <v>11242.77</v>
      </c>
      <c r="C90" s="111">
        <v>3354.52</v>
      </c>
      <c r="D90" s="59" t="s">
        <v>19</v>
      </c>
      <c r="E90" s="111" t="s">
        <v>23</v>
      </c>
      <c r="F90" s="113">
        <f>12152+11523</f>
        <v>23675</v>
      </c>
      <c r="G90" s="113">
        <f>19299+650+246</f>
        <v>20195</v>
      </c>
      <c r="H90" s="113">
        <f>15+88+15+15+15+15</f>
        <v>163</v>
      </c>
      <c r="I90" s="113">
        <f t="shared" ref="I90" si="69">F90-(G90+H90)</f>
        <v>3317</v>
      </c>
      <c r="J90" s="113">
        <f>I90</f>
        <v>3317</v>
      </c>
      <c r="K90" s="115" t="s">
        <v>114</v>
      </c>
      <c r="L90" s="103">
        <f t="shared" ref="L90" si="70">IF(J90&lt;0,0,I90)</f>
        <v>3317</v>
      </c>
      <c r="M90" s="105"/>
      <c r="N90" s="105"/>
      <c r="O90" s="154">
        <v>3360.5079999999998</v>
      </c>
      <c r="P90" s="99">
        <f>O90*R3</f>
        <v>19692.576880000001</v>
      </c>
      <c r="Q90" s="119">
        <f t="shared" ref="Q90" si="71">L90-O90</f>
        <v>-43.507999999999811</v>
      </c>
      <c r="R90" s="101"/>
      <c r="S90" s="146">
        <f>Q90*R3</f>
        <v>-254.9568799999989</v>
      </c>
    </row>
    <row r="91" spans="1:19" ht="15.75" customHeight="1" x14ac:dyDescent="0.25">
      <c r="A91" s="57">
        <v>45962</v>
      </c>
      <c r="B91" s="112"/>
      <c r="C91" s="112"/>
      <c r="D91" s="59" t="s">
        <v>20</v>
      </c>
      <c r="E91" s="112"/>
      <c r="F91" s="114"/>
      <c r="G91" s="114"/>
      <c r="H91" s="114"/>
      <c r="I91" s="114"/>
      <c r="J91" s="114"/>
      <c r="K91" s="116"/>
      <c r="L91" s="104"/>
      <c r="M91" s="106"/>
      <c r="N91" s="106"/>
      <c r="O91" s="155"/>
      <c r="P91" s="109"/>
      <c r="Q91" s="156"/>
      <c r="R91" s="102"/>
      <c r="S91" s="148"/>
    </row>
    <row r="92" spans="1:19" ht="15.75" customHeight="1" x14ac:dyDescent="0.25">
      <c r="A92" s="57">
        <v>45992</v>
      </c>
      <c r="B92" s="111">
        <v>11243.77</v>
      </c>
      <c r="C92" s="111">
        <v>3355.52</v>
      </c>
      <c r="D92" s="59" t="s">
        <v>19</v>
      </c>
      <c r="E92" s="111" t="s">
        <v>23</v>
      </c>
      <c r="F92" s="113">
        <f>10776+10960</f>
        <v>21736</v>
      </c>
      <c r="G92" s="113">
        <f>17058+937+290</f>
        <v>18285</v>
      </c>
      <c r="H92" s="113">
        <f>15+89+15+15+15+15</f>
        <v>164</v>
      </c>
      <c r="I92" s="113">
        <f t="shared" ref="I92" si="72">F92-(G92+H92)</f>
        <v>3287</v>
      </c>
      <c r="J92" s="113">
        <f>I92</f>
        <v>3287</v>
      </c>
      <c r="K92" s="115" t="s">
        <v>112</v>
      </c>
      <c r="L92" s="103">
        <f t="shared" ref="L92" si="73">IF(J92&lt;0,0,I92)</f>
        <v>3287</v>
      </c>
      <c r="M92" s="105"/>
      <c r="N92" s="105"/>
      <c r="O92" s="154">
        <v>3360.5079999999998</v>
      </c>
      <c r="P92" s="99">
        <f>O92*R3</f>
        <v>19692.576880000001</v>
      </c>
      <c r="Q92" s="119">
        <f t="shared" ref="Q92" si="74">L92-O92</f>
        <v>-73.507999999999811</v>
      </c>
      <c r="R92" s="101"/>
      <c r="S92" s="146">
        <f>Q92*R3</f>
        <v>-430.75687999999889</v>
      </c>
    </row>
    <row r="93" spans="1:19" ht="15.75" customHeight="1" x14ac:dyDescent="0.25">
      <c r="A93" s="57">
        <v>45992</v>
      </c>
      <c r="B93" s="112"/>
      <c r="C93" s="112"/>
      <c r="D93" s="59" t="s">
        <v>20</v>
      </c>
      <c r="E93" s="112"/>
      <c r="F93" s="114"/>
      <c r="G93" s="114"/>
      <c r="H93" s="114"/>
      <c r="I93" s="114"/>
      <c r="J93" s="114"/>
      <c r="K93" s="116"/>
      <c r="L93" s="104"/>
      <c r="M93" s="106"/>
      <c r="N93" s="106"/>
      <c r="O93" s="155"/>
      <c r="P93" s="109"/>
      <c r="Q93" s="147"/>
      <c r="R93" s="110"/>
      <c r="S93" s="153"/>
    </row>
    <row r="94" spans="1:19" s="20" customFormat="1" ht="31.5" customHeight="1" x14ac:dyDescent="0.25">
      <c r="A94" s="75"/>
      <c r="K94" s="91"/>
      <c r="L94" s="20">
        <f>SUM(L70:L93)</f>
        <v>22749</v>
      </c>
      <c r="O94" s="20">
        <f>SUM(O70:O93)</f>
        <v>40326.096000000012</v>
      </c>
      <c r="P94" s="20">
        <f>SUM(P70:P93)</f>
        <v>266185.83868000004</v>
      </c>
      <c r="Q94" s="95" t="s">
        <v>116</v>
      </c>
      <c r="R94" s="95">
        <f>SUM(Q70:R81)</f>
        <v>-10647.047999999999</v>
      </c>
      <c r="S94" s="96">
        <f>SUM(S70:S81)</f>
        <v>-55471.120079999993</v>
      </c>
    </row>
    <row r="95" spans="1:19" s="20" customFormat="1" ht="31.5" customHeight="1" x14ac:dyDescent="0.25">
      <c r="A95" s="75"/>
      <c r="Q95" s="97" t="s">
        <v>117</v>
      </c>
      <c r="R95" s="95">
        <f>SUM(Q82:R93)</f>
        <v>-6930.0479999999989</v>
      </c>
      <c r="S95" s="96">
        <f>SUM(S82:S93)</f>
        <v>-40610.081279999999</v>
      </c>
    </row>
    <row r="96" spans="1:19" x14ac:dyDescent="0.25">
      <c r="A96" s="94"/>
      <c r="Q96" s="97"/>
      <c r="R96" s="97"/>
      <c r="S96" s="97"/>
    </row>
    <row r="97" spans="17:19" x14ac:dyDescent="0.25">
      <c r="Q97" s="97"/>
      <c r="R97" s="97"/>
      <c r="S97" s="96">
        <f>S94+S95</f>
        <v>-96081.201359999992</v>
      </c>
    </row>
  </sheetData>
  <sheetProtection algorithmName="SHA-512" hashValue="GmjGXjGqXEd/N+XTYtXwwYhO1rTHNEeUNVMm0abX61isRrqY3iwsX1iRXnQmsI1U2dkKOLKJxkU43KlrYiUXEg==" saltValue="UOAq26UvXYA8TAWc/HEKGQ==" spinCount="100000" sheet="1" objects="1" scenarios="1" selectLockedCells="1" selectUnlockedCells="1"/>
  <mergeCells count="703">
    <mergeCell ref="A1:S1"/>
    <mergeCell ref="S4:S5"/>
    <mergeCell ref="S7:S8"/>
    <mergeCell ref="S9:S10"/>
    <mergeCell ref="S11:S12"/>
    <mergeCell ref="H4:H5"/>
    <mergeCell ref="I4:I5"/>
    <mergeCell ref="K4:L4"/>
    <mergeCell ref="M4:M5"/>
    <mergeCell ref="E4:E5"/>
    <mergeCell ref="M7:M8"/>
    <mergeCell ref="N7:N8"/>
    <mergeCell ref="O7:O8"/>
    <mergeCell ref="N4:N5"/>
    <mergeCell ref="O4:O5"/>
    <mergeCell ref="H9:H10"/>
    <mergeCell ref="L7:L8"/>
    <mergeCell ref="O9:O10"/>
    <mergeCell ref="M9:M10"/>
    <mergeCell ref="N9:N10"/>
    <mergeCell ref="H11:H12"/>
    <mergeCell ref="I11:I12"/>
    <mergeCell ref="K11:K12"/>
    <mergeCell ref="J11:J12"/>
    <mergeCell ref="S13:S14"/>
    <mergeCell ref="A2:D2"/>
    <mergeCell ref="A4:A5"/>
    <mergeCell ref="B4:B5"/>
    <mergeCell ref="C4:C5"/>
    <mergeCell ref="D4:D5"/>
    <mergeCell ref="P4:P5"/>
    <mergeCell ref="Q4:R4"/>
    <mergeCell ref="B7:B8"/>
    <mergeCell ref="C7:C8"/>
    <mergeCell ref="E7:E8"/>
    <mergeCell ref="F7:F8"/>
    <mergeCell ref="G7:G8"/>
    <mergeCell ref="H7:H8"/>
    <mergeCell ref="F4:F5"/>
    <mergeCell ref="G4:G5"/>
    <mergeCell ref="Q9:Q10"/>
    <mergeCell ref="R9:R10"/>
    <mergeCell ref="P9:P10"/>
    <mergeCell ref="P7:P8"/>
    <mergeCell ref="Q7:Q8"/>
    <mergeCell ref="I9:I10"/>
    <mergeCell ref="I7:I8"/>
    <mergeCell ref="K7:K8"/>
    <mergeCell ref="B9:B10"/>
    <mergeCell ref="C9:C10"/>
    <mergeCell ref="E9:E10"/>
    <mergeCell ref="F9:F10"/>
    <mergeCell ref="G9:G10"/>
    <mergeCell ref="B11:B12"/>
    <mergeCell ref="C11:C12"/>
    <mergeCell ref="E11:E12"/>
    <mergeCell ref="F11:F12"/>
    <mergeCell ref="G11:G12"/>
    <mergeCell ref="O13:O14"/>
    <mergeCell ref="P13:P14"/>
    <mergeCell ref="Q13:Q14"/>
    <mergeCell ref="R13:R14"/>
    <mergeCell ref="R11:R12"/>
    <mergeCell ref="O11:O12"/>
    <mergeCell ref="G2:K2"/>
    <mergeCell ref="G3:K3"/>
    <mergeCell ref="J13:J14"/>
    <mergeCell ref="M13:M14"/>
    <mergeCell ref="N13:N14"/>
    <mergeCell ref="M11:M12"/>
    <mergeCell ref="N11:N12"/>
    <mergeCell ref="J4:J5"/>
    <mergeCell ref="J7:J8"/>
    <mergeCell ref="K9:K10"/>
    <mergeCell ref="L9:L10"/>
    <mergeCell ref="J9:J10"/>
    <mergeCell ref="K13:K14"/>
    <mergeCell ref="L13:L14"/>
    <mergeCell ref="L11:L12"/>
    <mergeCell ref="R7:R8"/>
    <mergeCell ref="P11:P12"/>
    <mergeCell ref="Q11:Q12"/>
    <mergeCell ref="K15:K16"/>
    <mergeCell ref="L15:L16"/>
    <mergeCell ref="B15:B16"/>
    <mergeCell ref="C15:C16"/>
    <mergeCell ref="E15:E16"/>
    <mergeCell ref="F15:F16"/>
    <mergeCell ref="G15:G16"/>
    <mergeCell ref="B13:B14"/>
    <mergeCell ref="C13:C14"/>
    <mergeCell ref="E13:E14"/>
    <mergeCell ref="F13:F14"/>
    <mergeCell ref="G13:G14"/>
    <mergeCell ref="H13:H14"/>
    <mergeCell ref="I13:I14"/>
    <mergeCell ref="R15:R16"/>
    <mergeCell ref="S15:S16"/>
    <mergeCell ref="B17:B18"/>
    <mergeCell ref="C17:C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M15:M16"/>
    <mergeCell ref="N15:N16"/>
    <mergeCell ref="O15:O16"/>
    <mergeCell ref="P15:P16"/>
    <mergeCell ref="Q15:Q16"/>
    <mergeCell ref="H15:H16"/>
    <mergeCell ref="I15:I16"/>
    <mergeCell ref="J15:J16"/>
    <mergeCell ref="Q17:Q18"/>
    <mergeCell ref="R17:R18"/>
    <mergeCell ref="S17:S18"/>
    <mergeCell ref="B19:B20"/>
    <mergeCell ref="C19:C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B21:B22"/>
    <mergeCell ref="C21:C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N23:N24"/>
    <mergeCell ref="O23:O24"/>
    <mergeCell ref="P23:P24"/>
    <mergeCell ref="H23:H24"/>
    <mergeCell ref="I23:I24"/>
    <mergeCell ref="J23:J24"/>
    <mergeCell ref="K23:K24"/>
    <mergeCell ref="L23:L24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B23:B24"/>
    <mergeCell ref="C23:C24"/>
    <mergeCell ref="E23:E24"/>
    <mergeCell ref="F23:F24"/>
    <mergeCell ref="G23:G24"/>
    <mergeCell ref="M23:M24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F31:F32"/>
    <mergeCell ref="G31:G32"/>
    <mergeCell ref="O29:O30"/>
    <mergeCell ref="P29:P30"/>
    <mergeCell ref="Q29:Q30"/>
    <mergeCell ref="R29:R30"/>
    <mergeCell ref="B29:B30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B33:B34"/>
    <mergeCell ref="C33:C34"/>
    <mergeCell ref="E33:E34"/>
    <mergeCell ref="F33:F34"/>
    <mergeCell ref="G33:G34"/>
    <mergeCell ref="P31:P32"/>
    <mergeCell ref="Q31:Q32"/>
    <mergeCell ref="H31:H32"/>
    <mergeCell ref="I31:I32"/>
    <mergeCell ref="J31:J32"/>
    <mergeCell ref="K31:K32"/>
    <mergeCell ref="L31:L32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B31:B32"/>
    <mergeCell ref="C31:C32"/>
    <mergeCell ref="E31:E32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R27:R28"/>
    <mergeCell ref="S27:S28"/>
    <mergeCell ref="Q25:Q26"/>
    <mergeCell ref="R25:R26"/>
    <mergeCell ref="S25:S26"/>
    <mergeCell ref="Q23:Q24"/>
    <mergeCell ref="O21:O22"/>
    <mergeCell ref="P21:P22"/>
    <mergeCell ref="Q21:Q22"/>
    <mergeCell ref="O27:O28"/>
    <mergeCell ref="R23:R24"/>
    <mergeCell ref="S23:S24"/>
    <mergeCell ref="O25:O26"/>
    <mergeCell ref="P25:P26"/>
    <mergeCell ref="R21:R22"/>
    <mergeCell ref="S21:S22"/>
    <mergeCell ref="R37:R38"/>
    <mergeCell ref="S37:S38"/>
    <mergeCell ref="P35:P36"/>
    <mergeCell ref="Q35:Q36"/>
    <mergeCell ref="R35:R36"/>
    <mergeCell ref="S35:S36"/>
    <mergeCell ref="R31:R32"/>
    <mergeCell ref="S31:S32"/>
    <mergeCell ref="S29:S30"/>
    <mergeCell ref="Q33:Q34"/>
    <mergeCell ref="R33:R34"/>
    <mergeCell ref="S33:S34"/>
    <mergeCell ref="G42:G43"/>
    <mergeCell ref="H42:H43"/>
    <mergeCell ref="I42:I43"/>
    <mergeCell ref="J42:J43"/>
    <mergeCell ref="K42:K43"/>
    <mergeCell ref="P2:P3"/>
    <mergeCell ref="O37:O38"/>
    <mergeCell ref="P37:P38"/>
    <mergeCell ref="Q37:Q38"/>
    <mergeCell ref="P27:P28"/>
    <mergeCell ref="Q27:Q28"/>
    <mergeCell ref="L37:L38"/>
    <mergeCell ref="M37:M38"/>
    <mergeCell ref="N37:N38"/>
    <mergeCell ref="L35:L36"/>
    <mergeCell ref="M35:M36"/>
    <mergeCell ref="N35:N36"/>
    <mergeCell ref="O35:O36"/>
    <mergeCell ref="L27:L28"/>
    <mergeCell ref="M27:M28"/>
    <mergeCell ref="N27:N28"/>
    <mergeCell ref="L25:L26"/>
    <mergeCell ref="M25:M26"/>
    <mergeCell ref="N25:N26"/>
    <mergeCell ref="L42:L43"/>
    <mergeCell ref="M42:M43"/>
    <mergeCell ref="N42:N43"/>
    <mergeCell ref="O42:O43"/>
    <mergeCell ref="P42:P43"/>
    <mergeCell ref="Q42:Q43"/>
    <mergeCell ref="R42:R43"/>
    <mergeCell ref="S42:S43"/>
    <mergeCell ref="B44:B45"/>
    <mergeCell ref="C44:C45"/>
    <mergeCell ref="E44:E45"/>
    <mergeCell ref="F44:F45"/>
    <mergeCell ref="G44:G45"/>
    <mergeCell ref="H44:H45"/>
    <mergeCell ref="I44:I45"/>
    <mergeCell ref="J44:J45"/>
    <mergeCell ref="L44:L45"/>
    <mergeCell ref="M44:M45"/>
    <mergeCell ref="N44:N45"/>
    <mergeCell ref="O44:O45"/>
    <mergeCell ref="B42:B43"/>
    <mergeCell ref="C42:C43"/>
    <mergeCell ref="E42:E43"/>
    <mergeCell ref="F42:F43"/>
    <mergeCell ref="B48:B49"/>
    <mergeCell ref="C48:C49"/>
    <mergeCell ref="E48:E49"/>
    <mergeCell ref="F48:F49"/>
    <mergeCell ref="G48:G49"/>
    <mergeCell ref="H48:H49"/>
    <mergeCell ref="I48:I49"/>
    <mergeCell ref="J48:J49"/>
    <mergeCell ref="B46:B47"/>
    <mergeCell ref="C46:C47"/>
    <mergeCell ref="E46:E47"/>
    <mergeCell ref="F46:F47"/>
    <mergeCell ref="G46:G47"/>
    <mergeCell ref="H46:H47"/>
    <mergeCell ref="I46:I47"/>
    <mergeCell ref="J46:J47"/>
    <mergeCell ref="B50:B51"/>
    <mergeCell ref="C50:C51"/>
    <mergeCell ref="E50:E51"/>
    <mergeCell ref="F50:F51"/>
    <mergeCell ref="G50:G51"/>
    <mergeCell ref="H50:H51"/>
    <mergeCell ref="I50:I51"/>
    <mergeCell ref="J50:J51"/>
    <mergeCell ref="L50:L51"/>
    <mergeCell ref="B52:B53"/>
    <mergeCell ref="C52:C53"/>
    <mergeCell ref="E52:E53"/>
    <mergeCell ref="F52:F53"/>
    <mergeCell ref="G52:G53"/>
    <mergeCell ref="H52:H53"/>
    <mergeCell ref="I52:I53"/>
    <mergeCell ref="J52:J53"/>
    <mergeCell ref="L52:L53"/>
    <mergeCell ref="B54:B55"/>
    <mergeCell ref="C54:C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B58:B59"/>
    <mergeCell ref="C58:C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S2:S3"/>
    <mergeCell ref="S62:S63"/>
    <mergeCell ref="B64:B65"/>
    <mergeCell ref="C64:C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L60:L61"/>
    <mergeCell ref="M60:M61"/>
    <mergeCell ref="N60:N61"/>
    <mergeCell ref="O60:O61"/>
    <mergeCell ref="P60:P61"/>
    <mergeCell ref="S46:S47"/>
    <mergeCell ref="K48:K49"/>
    <mergeCell ref="P48:P49"/>
    <mergeCell ref="Q48:Q49"/>
    <mergeCell ref="R48:R49"/>
    <mergeCell ref="S48:S49"/>
    <mergeCell ref="P44:P45"/>
    <mergeCell ref="Q44:Q45"/>
    <mergeCell ref="R44:R45"/>
    <mergeCell ref="S44:S45"/>
    <mergeCell ref="K46:K47"/>
    <mergeCell ref="P46:P47"/>
    <mergeCell ref="Q46:Q47"/>
    <mergeCell ref="R46:R47"/>
    <mergeCell ref="K44:K45"/>
    <mergeCell ref="L48:L49"/>
    <mergeCell ref="M48:M49"/>
    <mergeCell ref="N48:N49"/>
    <mergeCell ref="O48:O49"/>
    <mergeCell ref="L46:L47"/>
    <mergeCell ref="M46:M47"/>
    <mergeCell ref="N46:N47"/>
    <mergeCell ref="O46:O47"/>
    <mergeCell ref="K70:K71"/>
    <mergeCell ref="P50:P51"/>
    <mergeCell ref="Q50:Q51"/>
    <mergeCell ref="R50:R51"/>
    <mergeCell ref="S50:S51"/>
    <mergeCell ref="K52:K53"/>
    <mergeCell ref="P52:P53"/>
    <mergeCell ref="Q52:Q53"/>
    <mergeCell ref="R52:R53"/>
    <mergeCell ref="K50:K51"/>
    <mergeCell ref="M52:M53"/>
    <mergeCell ref="N52:N53"/>
    <mergeCell ref="O52:O53"/>
    <mergeCell ref="M50:M51"/>
    <mergeCell ref="N50:N51"/>
    <mergeCell ref="O50:O51"/>
    <mergeCell ref="S52:S53"/>
    <mergeCell ref="P62:P63"/>
    <mergeCell ref="Q62:Q63"/>
    <mergeCell ref="R62:R63"/>
    <mergeCell ref="K62:K63"/>
    <mergeCell ref="L62:L63"/>
    <mergeCell ref="M62:M63"/>
    <mergeCell ref="N62:N63"/>
    <mergeCell ref="L70:L71"/>
    <mergeCell ref="M70:M71"/>
    <mergeCell ref="N70:N71"/>
    <mergeCell ref="O70:O71"/>
    <mergeCell ref="P70:P71"/>
    <mergeCell ref="Q70:Q71"/>
    <mergeCell ref="S70:S71"/>
    <mergeCell ref="Q60:Q61"/>
    <mergeCell ref="R60:R61"/>
    <mergeCell ref="S60:S61"/>
    <mergeCell ref="O62:O63"/>
    <mergeCell ref="F62:F63"/>
    <mergeCell ref="B72:B73"/>
    <mergeCell ref="C72:C73"/>
    <mergeCell ref="E72:E73"/>
    <mergeCell ref="F72:F73"/>
    <mergeCell ref="G72:G73"/>
    <mergeCell ref="H72:H73"/>
    <mergeCell ref="I72:I73"/>
    <mergeCell ref="J72:J73"/>
    <mergeCell ref="B70:B71"/>
    <mergeCell ref="C70:C71"/>
    <mergeCell ref="E70:E71"/>
    <mergeCell ref="F70:F71"/>
    <mergeCell ref="G70:G71"/>
    <mergeCell ref="H70:H71"/>
    <mergeCell ref="I70:I71"/>
    <mergeCell ref="J70:J71"/>
    <mergeCell ref="G62:G63"/>
    <mergeCell ref="H62:H63"/>
    <mergeCell ref="I62:I63"/>
    <mergeCell ref="J62:J63"/>
    <mergeCell ref="B62:B63"/>
    <mergeCell ref="C62:C63"/>
    <mergeCell ref="E62:E6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Q74:Q75"/>
    <mergeCell ref="R74:R75"/>
    <mergeCell ref="B76:B77"/>
    <mergeCell ref="C76:C77"/>
    <mergeCell ref="E76:E77"/>
    <mergeCell ref="F76:F77"/>
    <mergeCell ref="G76:G77"/>
    <mergeCell ref="H76:H77"/>
    <mergeCell ref="I76:I77"/>
    <mergeCell ref="J76:J77"/>
    <mergeCell ref="K76:K77"/>
    <mergeCell ref="B74:B75"/>
    <mergeCell ref="C74:C75"/>
    <mergeCell ref="E74:E75"/>
    <mergeCell ref="F74:F75"/>
    <mergeCell ref="G74:G75"/>
    <mergeCell ref="H74:H75"/>
    <mergeCell ref="I74:I75"/>
    <mergeCell ref="J74:J75"/>
    <mergeCell ref="K74:K75"/>
    <mergeCell ref="I78:I79"/>
    <mergeCell ref="J78:J79"/>
    <mergeCell ref="K78:K79"/>
    <mergeCell ref="S74:S75"/>
    <mergeCell ref="L76:L77"/>
    <mergeCell ref="M76:M77"/>
    <mergeCell ref="N76:N77"/>
    <mergeCell ref="O76:O77"/>
    <mergeCell ref="P76:P77"/>
    <mergeCell ref="Q76:Q77"/>
    <mergeCell ref="R76:R77"/>
    <mergeCell ref="S76:S77"/>
    <mergeCell ref="L78:L79"/>
    <mergeCell ref="M78:M79"/>
    <mergeCell ref="N78:N79"/>
    <mergeCell ref="O78:O79"/>
    <mergeCell ref="P78:P79"/>
    <mergeCell ref="Q78:Q79"/>
    <mergeCell ref="R78:R79"/>
    <mergeCell ref="L74:L75"/>
    <mergeCell ref="M74:M75"/>
    <mergeCell ref="N74:N75"/>
    <mergeCell ref="O74:O75"/>
    <mergeCell ref="P74:P75"/>
    <mergeCell ref="K82:K83"/>
    <mergeCell ref="S78:S79"/>
    <mergeCell ref="B80:B81"/>
    <mergeCell ref="C80:C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B78:B79"/>
    <mergeCell ref="S80:S81"/>
    <mergeCell ref="C78:C79"/>
    <mergeCell ref="E78:E79"/>
    <mergeCell ref="F78:F79"/>
    <mergeCell ref="G78:G79"/>
    <mergeCell ref="H78:H79"/>
    <mergeCell ref="L82:L83"/>
    <mergeCell ref="M82:M83"/>
    <mergeCell ref="N82:N83"/>
    <mergeCell ref="O82:O83"/>
    <mergeCell ref="P82:P83"/>
    <mergeCell ref="Q82:Q83"/>
    <mergeCell ref="S82:S83"/>
    <mergeCell ref="B84:B85"/>
    <mergeCell ref="C84:C85"/>
    <mergeCell ref="E84:E85"/>
    <mergeCell ref="F84:F85"/>
    <mergeCell ref="G84:G85"/>
    <mergeCell ref="H84:H85"/>
    <mergeCell ref="I84:I85"/>
    <mergeCell ref="J84:J85"/>
    <mergeCell ref="K84:K85"/>
    <mergeCell ref="B82:B83"/>
    <mergeCell ref="C82:C83"/>
    <mergeCell ref="E82:E83"/>
    <mergeCell ref="F82:F83"/>
    <mergeCell ref="G82:G83"/>
    <mergeCell ref="H82:H83"/>
    <mergeCell ref="I82:I83"/>
    <mergeCell ref="J82:J83"/>
    <mergeCell ref="B86:B87"/>
    <mergeCell ref="C86:C87"/>
    <mergeCell ref="E86:E87"/>
    <mergeCell ref="F86:F87"/>
    <mergeCell ref="G86:G87"/>
    <mergeCell ref="H86:H87"/>
    <mergeCell ref="I86:I87"/>
    <mergeCell ref="J86:J87"/>
    <mergeCell ref="K86:K87"/>
    <mergeCell ref="P88:P89"/>
    <mergeCell ref="Q88:Q89"/>
    <mergeCell ref="R88:R89"/>
    <mergeCell ref="S88:S89"/>
    <mergeCell ref="L84:L85"/>
    <mergeCell ref="M84:M85"/>
    <mergeCell ref="N84:N85"/>
    <mergeCell ref="O84:O85"/>
    <mergeCell ref="P84:P85"/>
    <mergeCell ref="Q84:Q85"/>
    <mergeCell ref="R84:R85"/>
    <mergeCell ref="S84:S85"/>
    <mergeCell ref="L86:L87"/>
    <mergeCell ref="M86:M87"/>
    <mergeCell ref="N86:N87"/>
    <mergeCell ref="O86:O87"/>
    <mergeCell ref="P86:P87"/>
    <mergeCell ref="Q86:Q87"/>
    <mergeCell ref="R86:R87"/>
    <mergeCell ref="B88:B89"/>
    <mergeCell ref="C88:C89"/>
    <mergeCell ref="E88:E89"/>
    <mergeCell ref="F88:F89"/>
    <mergeCell ref="G88:G89"/>
    <mergeCell ref="H88:H89"/>
    <mergeCell ref="I88:I89"/>
    <mergeCell ref="J88:J89"/>
    <mergeCell ref="K88:K89"/>
    <mergeCell ref="B90:B91"/>
    <mergeCell ref="C90:C91"/>
    <mergeCell ref="E90:E91"/>
    <mergeCell ref="F90:F91"/>
    <mergeCell ref="G90:G91"/>
    <mergeCell ref="H90:H91"/>
    <mergeCell ref="I90:I91"/>
    <mergeCell ref="J90:J91"/>
    <mergeCell ref="K90:K91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S92:S93"/>
    <mergeCell ref="R70:R71"/>
    <mergeCell ref="R80:R81"/>
    <mergeCell ref="R82:R83"/>
    <mergeCell ref="L90:L91"/>
    <mergeCell ref="M90:M91"/>
    <mergeCell ref="N90:N91"/>
    <mergeCell ref="O90:O91"/>
    <mergeCell ref="P90:P91"/>
    <mergeCell ref="Q90:Q91"/>
    <mergeCell ref="R90:R91"/>
    <mergeCell ref="S90:S91"/>
    <mergeCell ref="L92:L93"/>
    <mergeCell ref="M92:M93"/>
    <mergeCell ref="N92:N93"/>
    <mergeCell ref="O92:O93"/>
    <mergeCell ref="P92:P93"/>
    <mergeCell ref="Q92:Q93"/>
    <mergeCell ref="R92:R93"/>
    <mergeCell ref="S86:S87"/>
    <mergeCell ref="L88:L89"/>
    <mergeCell ref="M88:M89"/>
    <mergeCell ref="N88:N89"/>
    <mergeCell ref="O88:O89"/>
  </mergeCells>
  <pageMargins left="0.25" right="0.25" top="0.75" bottom="0.75" header="0.3" footer="0.3"/>
  <pageSetup paperSize="9" scale="4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0"/>
  <sheetViews>
    <sheetView zoomScale="78" zoomScaleNormal="78" workbookViewId="0">
      <selection activeCell="J10" sqref="J10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20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20" ht="20.100000000000001" customHeight="1" x14ac:dyDescent="0.25">
      <c r="A2" s="126" t="s">
        <v>31</v>
      </c>
      <c r="B2" s="126"/>
      <c r="C2" s="126"/>
      <c r="D2" s="126"/>
      <c r="J2" s="124" t="s">
        <v>61</v>
      </c>
      <c r="K2" s="124"/>
      <c r="L2" s="124"/>
      <c r="M2" s="124"/>
      <c r="N2" s="124"/>
      <c r="O2" s="12" t="s">
        <v>25</v>
      </c>
      <c r="P2" s="13">
        <v>4.4000000000000004</v>
      </c>
      <c r="Q2" s="28" t="s">
        <v>73</v>
      </c>
      <c r="R2" s="28">
        <v>4.79</v>
      </c>
      <c r="S2" s="118" t="s">
        <v>75</v>
      </c>
    </row>
    <row r="3" spans="1:20" ht="20.100000000000001" customHeight="1" x14ac:dyDescent="0.25">
      <c r="J3" s="124" t="s">
        <v>61</v>
      </c>
      <c r="K3" s="124"/>
      <c r="L3" s="124"/>
      <c r="M3" s="124"/>
      <c r="N3" s="124"/>
      <c r="O3" s="12" t="s">
        <v>62</v>
      </c>
      <c r="P3" s="13">
        <v>4.79</v>
      </c>
      <c r="Q3" s="28" t="s">
        <v>74</v>
      </c>
      <c r="R3" s="28">
        <v>5.21</v>
      </c>
      <c r="S3" s="118"/>
    </row>
    <row r="4" spans="1:20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20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20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18</v>
      </c>
    </row>
    <row r="7" spans="1:20" ht="39.75" customHeight="1" x14ac:dyDescent="0.25">
      <c r="A7" s="18">
        <v>44805</v>
      </c>
      <c r="B7" s="10">
        <v>3793.8</v>
      </c>
      <c r="C7" s="10">
        <v>1310.3</v>
      </c>
      <c r="D7" s="19" t="s">
        <v>32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1035</v>
      </c>
      <c r="M7" s="10"/>
      <c r="N7" s="10"/>
      <c r="O7" s="48">
        <v>1035.1389999999999</v>
      </c>
      <c r="P7" s="36">
        <f>O7*P2</f>
        <v>4554.6116000000002</v>
      </c>
      <c r="Q7" s="50">
        <v>0</v>
      </c>
      <c r="R7" s="10"/>
      <c r="S7" s="16">
        <v>0</v>
      </c>
    </row>
    <row r="8" spans="1:20" ht="39.75" customHeight="1" x14ac:dyDescent="0.25">
      <c r="A8" s="18">
        <v>44835</v>
      </c>
      <c r="B8" s="10">
        <v>3793.8</v>
      </c>
      <c r="C8" s="10">
        <v>1310.3</v>
      </c>
      <c r="D8" s="19" t="s">
        <v>32</v>
      </c>
      <c r="E8" s="10" t="s">
        <v>23</v>
      </c>
      <c r="F8" s="11">
        <v>7642.16</v>
      </c>
      <c r="G8" s="11">
        <f>7837+337+97</f>
        <v>8271</v>
      </c>
      <c r="H8" s="11">
        <f>14+15</f>
        <v>29</v>
      </c>
      <c r="I8" s="11">
        <f>F8-(G8+H8)</f>
        <v>-657.84000000000015</v>
      </c>
      <c r="J8" s="24">
        <f>I8</f>
        <v>-657.84000000000015</v>
      </c>
      <c r="K8" s="27" t="s">
        <v>64</v>
      </c>
      <c r="L8" s="34">
        <v>0</v>
      </c>
      <c r="M8" s="29"/>
      <c r="N8" s="29"/>
      <c r="O8" s="48">
        <v>1035.1389999999999</v>
      </c>
      <c r="P8" s="36">
        <f>O8*P2</f>
        <v>4554.6116000000002</v>
      </c>
      <c r="Q8" s="52">
        <f>O8</f>
        <v>1035.1389999999999</v>
      </c>
      <c r="R8" s="28"/>
      <c r="S8" s="16">
        <f>-(Q8*P2)</f>
        <v>-4554.6116000000002</v>
      </c>
    </row>
    <row r="9" spans="1:20" ht="39.75" customHeight="1" x14ac:dyDescent="0.25">
      <c r="A9" s="18">
        <v>44866</v>
      </c>
      <c r="B9" s="10">
        <v>3793.8</v>
      </c>
      <c r="C9" s="10">
        <v>1310.3</v>
      </c>
      <c r="D9" s="19" t="s">
        <v>32</v>
      </c>
      <c r="E9" s="10" t="s">
        <v>23</v>
      </c>
      <c r="F9" s="7">
        <v>8004.44</v>
      </c>
      <c r="G9" s="4">
        <f>6217+409+153</f>
        <v>6779</v>
      </c>
      <c r="H9" s="4">
        <f>14+15</f>
        <v>29</v>
      </c>
      <c r="I9" s="11">
        <f t="shared" ref="I9:I10" si="0">F9-(G9+H9)</f>
        <v>1196.4399999999996</v>
      </c>
      <c r="J9" s="24">
        <v>538</v>
      </c>
      <c r="K9" s="27" t="s">
        <v>66</v>
      </c>
      <c r="L9" s="34">
        <v>538</v>
      </c>
      <c r="M9" s="28"/>
      <c r="N9" s="28"/>
      <c r="O9" s="48">
        <v>1035.1389999999999</v>
      </c>
      <c r="P9" s="38">
        <f>O9*P2</f>
        <v>4554.6116000000002</v>
      </c>
      <c r="Q9" s="52">
        <f>O9-J9</f>
        <v>497.1389999999999</v>
      </c>
      <c r="R9" s="28"/>
      <c r="S9" s="16">
        <f>-(Q9*P2)</f>
        <v>-2187.4115999999999</v>
      </c>
    </row>
    <row r="10" spans="1:20" ht="39.75" customHeight="1" x14ac:dyDescent="0.25">
      <c r="A10" s="18">
        <v>44896</v>
      </c>
      <c r="B10" s="4">
        <v>3793.8</v>
      </c>
      <c r="C10" s="4">
        <v>1310.3</v>
      </c>
      <c r="D10" s="19" t="s">
        <v>32</v>
      </c>
      <c r="E10" s="4" t="s">
        <v>23</v>
      </c>
      <c r="F10" s="4">
        <f>8582</f>
        <v>8582</v>
      </c>
      <c r="G10" s="4">
        <f>359+130+6530</f>
        <v>7019</v>
      </c>
      <c r="H10" s="4">
        <f>14+15</f>
        <v>29</v>
      </c>
      <c r="I10" s="6">
        <f t="shared" si="0"/>
        <v>1534</v>
      </c>
      <c r="J10" s="24">
        <f>I10</f>
        <v>1534</v>
      </c>
      <c r="K10" s="27" t="s">
        <v>67</v>
      </c>
      <c r="L10" s="34">
        <v>1534</v>
      </c>
      <c r="M10" s="28"/>
      <c r="N10" s="28"/>
      <c r="O10" s="49"/>
      <c r="P10" s="38">
        <f>O10*P2</f>
        <v>0</v>
      </c>
      <c r="Q10" s="28"/>
      <c r="R10" s="163" t="s">
        <v>59</v>
      </c>
      <c r="S10" s="164"/>
      <c r="T10" s="9"/>
    </row>
  </sheetData>
  <sheetProtection algorithmName="SHA-512" hashValue="dohXT991M2ZeiXRr6hrP5c7jLHHTW3/iEd9eVBNCI9/jh9YmHFwjMBaLKrhQ3Jsuf31UclZdc+LG/SEbPzOFcA==" saltValue="uB11zy009goSugNKuOl/Ww==" spinCount="100000" sheet="1" objects="1" scenarios="1" selectLockedCells="1" selectUnlockedCells="1"/>
  <mergeCells count="23">
    <mergeCell ref="A1:S1"/>
    <mergeCell ref="R10:S10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S2:S3"/>
    <mergeCell ref="S4:S5"/>
    <mergeCell ref="K4:L4"/>
    <mergeCell ref="M4:M5"/>
    <mergeCell ref="J2:N2"/>
    <mergeCell ref="J3:N3"/>
    <mergeCell ref="J4:J5"/>
    <mergeCell ref="N4:N5"/>
  </mergeCells>
  <pageMargins left="0.25" right="0.25" top="0.75" bottom="0.75" header="0.3" footer="0.3"/>
  <pageSetup paperSize="9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0"/>
  <sheetViews>
    <sheetView zoomScale="78" zoomScaleNormal="78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37</v>
      </c>
      <c r="B2" s="126"/>
      <c r="C2" s="126"/>
      <c r="D2" s="126"/>
      <c r="J2" s="124" t="s">
        <v>61</v>
      </c>
      <c r="K2" s="124"/>
      <c r="L2" s="124"/>
      <c r="M2" s="124"/>
      <c r="N2" s="124"/>
      <c r="O2" s="12" t="s">
        <v>25</v>
      </c>
      <c r="P2" s="13">
        <v>4.4000000000000004</v>
      </c>
      <c r="Q2" s="28" t="s">
        <v>73</v>
      </c>
      <c r="R2" s="28">
        <v>4.79</v>
      </c>
      <c r="S2" s="118" t="s">
        <v>75</v>
      </c>
    </row>
    <row r="3" spans="1:19" ht="20.100000000000001" customHeight="1" x14ac:dyDescent="0.25">
      <c r="J3" s="124" t="s">
        <v>61</v>
      </c>
      <c r="K3" s="124"/>
      <c r="L3" s="124"/>
      <c r="M3" s="124"/>
      <c r="N3" s="124"/>
      <c r="O3" s="12" t="s">
        <v>62</v>
      </c>
      <c r="P3" s="13">
        <v>4.79</v>
      </c>
      <c r="Q3" s="28" t="s">
        <v>74</v>
      </c>
      <c r="R3" s="28">
        <v>5.21</v>
      </c>
      <c r="S3" s="118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18</v>
      </c>
    </row>
    <row r="7" spans="1:19" ht="39.75" customHeight="1" x14ac:dyDescent="0.25">
      <c r="A7" s="18">
        <v>44805</v>
      </c>
      <c r="B7" s="10">
        <v>1245.8</v>
      </c>
      <c r="C7" s="10">
        <v>106.8</v>
      </c>
      <c r="D7" s="19" t="s">
        <v>38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77</v>
      </c>
      <c r="M7" s="10"/>
      <c r="N7" s="10"/>
      <c r="O7" s="45">
        <v>76.896000000000001</v>
      </c>
      <c r="P7" s="36">
        <f>O7*P2</f>
        <v>338.34240000000005</v>
      </c>
      <c r="Q7" s="37">
        <v>0</v>
      </c>
      <c r="R7" s="10"/>
      <c r="S7" s="16">
        <f>-(Q7*P2)</f>
        <v>0</v>
      </c>
    </row>
    <row r="8" spans="1:19" ht="39.75" customHeight="1" x14ac:dyDescent="0.25">
      <c r="A8" s="18">
        <v>44835</v>
      </c>
      <c r="B8" s="10">
        <v>1245.8</v>
      </c>
      <c r="C8" s="10">
        <v>106.8</v>
      </c>
      <c r="D8" s="19" t="s">
        <v>38</v>
      </c>
      <c r="E8" s="10" t="s">
        <v>23</v>
      </c>
      <c r="F8" s="11">
        <v>3111.72</v>
      </c>
      <c r="G8" s="11">
        <f>2905</f>
        <v>2905</v>
      </c>
      <c r="H8" s="11">
        <f>14+15</f>
        <v>29</v>
      </c>
      <c r="I8" s="11">
        <f>F8-(G8+H8)</f>
        <v>177.7199999999998</v>
      </c>
      <c r="J8" s="24">
        <v>178</v>
      </c>
      <c r="K8" s="27" t="s">
        <v>64</v>
      </c>
      <c r="L8" s="34">
        <v>178</v>
      </c>
      <c r="M8" s="29"/>
      <c r="N8" s="29"/>
      <c r="O8" s="45">
        <v>76.896000000000001</v>
      </c>
      <c r="P8" s="36">
        <f>O8*P2</f>
        <v>338.34240000000005</v>
      </c>
      <c r="Q8" s="29"/>
      <c r="R8" s="47">
        <f>J8-O8</f>
        <v>101.104</v>
      </c>
      <c r="S8" s="16">
        <f>R8*P2</f>
        <v>444.85760000000005</v>
      </c>
    </row>
    <row r="9" spans="1:19" ht="39.75" customHeight="1" x14ac:dyDescent="0.25">
      <c r="A9" s="18">
        <v>44866</v>
      </c>
      <c r="B9" s="10">
        <v>1245.8</v>
      </c>
      <c r="C9" s="10">
        <v>106.8</v>
      </c>
      <c r="D9" s="19" t="s">
        <v>38</v>
      </c>
      <c r="E9" s="10" t="s">
        <v>23</v>
      </c>
      <c r="F9" s="7">
        <v>2331.7600000000002</v>
      </c>
      <c r="G9" s="4">
        <f>2106</f>
        <v>2106</v>
      </c>
      <c r="H9" s="4">
        <f>14+15</f>
        <v>29</v>
      </c>
      <c r="I9" s="11">
        <f t="shared" ref="I9:I10" si="0">F9-(G9+H9)</f>
        <v>196.76000000000022</v>
      </c>
      <c r="J9" s="24">
        <v>197</v>
      </c>
      <c r="K9" s="27" t="s">
        <v>66</v>
      </c>
      <c r="L9" s="34">
        <v>197</v>
      </c>
      <c r="M9" s="28"/>
      <c r="N9" s="28"/>
      <c r="O9" s="36"/>
      <c r="P9" s="38">
        <f>O9*P2</f>
        <v>0</v>
      </c>
      <c r="Q9" s="29"/>
      <c r="R9" s="167" t="s">
        <v>58</v>
      </c>
      <c r="S9" s="168"/>
    </row>
    <row r="10" spans="1:19" ht="39.75" customHeight="1" x14ac:dyDescent="0.25">
      <c r="A10" s="18">
        <v>44896</v>
      </c>
      <c r="B10" s="4">
        <v>1245.8</v>
      </c>
      <c r="C10" s="4">
        <v>106.8</v>
      </c>
      <c r="D10" s="19" t="s">
        <v>38</v>
      </c>
      <c r="E10" s="4" t="s">
        <v>23</v>
      </c>
      <c r="F10" s="4">
        <v>1918</v>
      </c>
      <c r="G10" s="4">
        <f>2205</f>
        <v>2205</v>
      </c>
      <c r="H10" s="4">
        <f>14+15</f>
        <v>29</v>
      </c>
      <c r="I10" s="6">
        <f t="shared" si="0"/>
        <v>-316</v>
      </c>
      <c r="J10" s="24">
        <f>I10</f>
        <v>-316</v>
      </c>
      <c r="K10" s="27" t="s">
        <v>67</v>
      </c>
      <c r="L10" s="34">
        <v>0</v>
      </c>
      <c r="M10" s="28"/>
      <c r="N10" s="28"/>
      <c r="O10" s="38"/>
      <c r="P10" s="38">
        <f>O10*P2</f>
        <v>0</v>
      </c>
      <c r="Q10" s="29"/>
      <c r="R10" s="165"/>
      <c r="S10" s="166"/>
    </row>
  </sheetData>
  <sheetProtection algorithmName="SHA-512" hashValue="m6aR01O8OwipmV6jDJiivxXczSwQ9Kx9sTMJBgS/39RtgmT3duIwD1aU2RZeA3W/wganFdrmk7j7tZ6cSjeYNQ==" saltValue="BDSh6RfL1IxVSsNvgzUe/A==" spinCount="100000" sheet="1" objects="1" scenarios="1" selectLockedCells="1" selectUnlockedCells="1"/>
  <mergeCells count="24">
    <mergeCell ref="R10:S10"/>
    <mergeCell ref="R9:S9"/>
    <mergeCell ref="H4:H5"/>
    <mergeCell ref="Q4:R4"/>
    <mergeCell ref="I4:I5"/>
    <mergeCell ref="K4:L4"/>
    <mergeCell ref="S4:S5"/>
    <mergeCell ref="M4:M5"/>
    <mergeCell ref="J4:J5"/>
    <mergeCell ref="J2:N2"/>
    <mergeCell ref="J3:N3"/>
    <mergeCell ref="A1:S1"/>
    <mergeCell ref="N4:N5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S2:S3"/>
  </mergeCells>
  <pageMargins left="0.25" right="0.25" top="0.75" bottom="0.75" header="0.3" footer="0.3"/>
  <pageSetup paperSize="9" scale="4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0"/>
  <sheetViews>
    <sheetView zoomScale="78" zoomScaleNormal="78" workbookViewId="0">
      <selection activeCell="A2" sqref="A2:D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39</v>
      </c>
      <c r="B2" s="126"/>
      <c r="C2" s="126"/>
      <c r="D2" s="126"/>
      <c r="J2" s="124" t="s">
        <v>61</v>
      </c>
      <c r="K2" s="124"/>
      <c r="L2" s="124"/>
      <c r="M2" s="124"/>
      <c r="N2" s="124"/>
      <c r="O2" s="12" t="s">
        <v>25</v>
      </c>
      <c r="P2" s="13">
        <v>4.4000000000000004</v>
      </c>
      <c r="Q2" s="28" t="s">
        <v>73</v>
      </c>
      <c r="R2" s="28">
        <v>4.79</v>
      </c>
      <c r="S2" s="118" t="s">
        <v>75</v>
      </c>
    </row>
    <row r="3" spans="1:19" ht="20.100000000000001" customHeight="1" x14ac:dyDescent="0.25">
      <c r="J3" s="124" t="s">
        <v>61</v>
      </c>
      <c r="K3" s="124"/>
      <c r="L3" s="124"/>
      <c r="M3" s="124"/>
      <c r="N3" s="124"/>
      <c r="O3" s="12" t="s">
        <v>62</v>
      </c>
      <c r="P3" s="13">
        <v>4.79</v>
      </c>
      <c r="Q3" s="28" t="s">
        <v>74</v>
      </c>
      <c r="R3" s="28">
        <v>5.21</v>
      </c>
      <c r="S3" s="118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18</v>
      </c>
    </row>
    <row r="7" spans="1:19" ht="39.75" customHeight="1" x14ac:dyDescent="0.25">
      <c r="A7" s="18">
        <v>44805</v>
      </c>
      <c r="B7" s="10">
        <v>1878.5</v>
      </c>
      <c r="C7" s="10">
        <v>881.9</v>
      </c>
      <c r="D7" s="19" t="s">
        <v>40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635</v>
      </c>
      <c r="M7" s="10"/>
      <c r="N7" s="10"/>
      <c r="O7" s="53">
        <v>634.96400000000006</v>
      </c>
      <c r="P7" s="26">
        <f>O7*P2</f>
        <v>2793.8416000000007</v>
      </c>
      <c r="Q7" s="33"/>
      <c r="R7" s="33"/>
      <c r="S7" s="21">
        <v>0</v>
      </c>
    </row>
    <row r="8" spans="1:19" ht="39.75" customHeight="1" x14ac:dyDescent="0.25">
      <c r="A8" s="18">
        <v>44835</v>
      </c>
      <c r="B8" s="10">
        <v>1878.5</v>
      </c>
      <c r="C8" s="10">
        <v>881.9</v>
      </c>
      <c r="D8" s="19" t="s">
        <v>40</v>
      </c>
      <c r="E8" s="10" t="s">
        <v>23</v>
      </c>
      <c r="F8" s="11">
        <v>5288.92</v>
      </c>
      <c r="G8" s="11">
        <f>3572+300+123</f>
        <v>3995</v>
      </c>
      <c r="H8" s="11">
        <f>14+15</f>
        <v>29</v>
      </c>
      <c r="I8" s="11">
        <f>F8-(G8+H8)</f>
        <v>1264.92</v>
      </c>
      <c r="J8" s="24">
        <v>1265</v>
      </c>
      <c r="K8" s="27" t="s">
        <v>64</v>
      </c>
      <c r="L8" s="34">
        <v>1265</v>
      </c>
      <c r="M8" s="29">
        <f>R8/C8</f>
        <v>0.71440752919832173</v>
      </c>
      <c r="N8" s="29">
        <f>M8*P2</f>
        <v>3.1433931284726158</v>
      </c>
      <c r="O8" s="53">
        <v>634.96400000000006</v>
      </c>
      <c r="P8" s="26">
        <f>O8*P2</f>
        <v>2793.8416000000007</v>
      </c>
      <c r="Q8" s="12"/>
      <c r="R8" s="54">
        <f>J8-O8</f>
        <v>630.03599999999994</v>
      </c>
      <c r="S8" s="21">
        <f>R8*P2</f>
        <v>2772.1583999999998</v>
      </c>
    </row>
    <row r="9" spans="1:19" ht="39.75" customHeight="1" x14ac:dyDescent="0.25">
      <c r="A9" s="18">
        <v>44866</v>
      </c>
      <c r="B9" s="10">
        <v>1878.5</v>
      </c>
      <c r="C9" s="10">
        <v>881.9</v>
      </c>
      <c r="D9" s="19" t="s">
        <v>40</v>
      </c>
      <c r="E9" s="10" t="s">
        <v>23</v>
      </c>
      <c r="F9" s="7">
        <v>3566.28</v>
      </c>
      <c r="G9" s="4">
        <f>3329+295+122</f>
        <v>3746</v>
      </c>
      <c r="H9" s="4">
        <f>14+15</f>
        <v>29</v>
      </c>
      <c r="I9" s="11">
        <f t="shared" ref="I9:I10" si="0">F9-(G9+H9)</f>
        <v>-208.7199999999998</v>
      </c>
      <c r="J9" s="24">
        <f>I9</f>
        <v>-208.7199999999998</v>
      </c>
      <c r="K9" s="27" t="s">
        <v>66</v>
      </c>
      <c r="L9" s="34">
        <v>0</v>
      </c>
      <c r="M9" s="28"/>
      <c r="N9" s="28"/>
      <c r="O9" s="26"/>
      <c r="P9" s="31">
        <f>O9*P2</f>
        <v>0</v>
      </c>
      <c r="Q9" s="35"/>
      <c r="R9" s="163" t="s">
        <v>60</v>
      </c>
      <c r="S9" s="164"/>
    </row>
    <row r="10" spans="1:19" ht="39.75" customHeight="1" x14ac:dyDescent="0.25">
      <c r="A10" s="18">
        <v>44896</v>
      </c>
      <c r="B10" s="4">
        <v>1878.5</v>
      </c>
      <c r="C10" s="4">
        <v>881.9</v>
      </c>
      <c r="D10" s="19" t="s">
        <v>40</v>
      </c>
      <c r="E10" s="4" t="s">
        <v>23</v>
      </c>
      <c r="F10" s="4">
        <v>3106</v>
      </c>
      <c r="G10" s="4">
        <f>3373+308+146</f>
        <v>3827</v>
      </c>
      <c r="H10" s="4">
        <f>14+15</f>
        <v>29</v>
      </c>
      <c r="I10" s="6">
        <f t="shared" si="0"/>
        <v>-750</v>
      </c>
      <c r="J10" s="24">
        <f>I10+J9</f>
        <v>-958.7199999999998</v>
      </c>
      <c r="K10" s="27" t="s">
        <v>67</v>
      </c>
      <c r="L10" s="34">
        <v>0</v>
      </c>
      <c r="M10" s="28"/>
      <c r="N10" s="28"/>
      <c r="O10" s="31"/>
      <c r="P10" s="31">
        <f>O10*P2</f>
        <v>0</v>
      </c>
      <c r="Q10" s="12"/>
      <c r="R10" s="169"/>
      <c r="S10" s="170"/>
    </row>
  </sheetData>
  <sheetProtection algorithmName="SHA-512" hashValue="YdMDo1uG8yqaYjrRFt/Syn50pWgbTR5M8QAhdQcs2nl7j677taZYsdlxqmhp35wpix2d6euRCYEWCQI0WlS7Nw==" saltValue="Xl+WSvfcj9RXIEJlFe7m9Q==" spinCount="100000" sheet="1" objects="1" scenarios="1" selectLockedCells="1" selectUnlockedCells="1"/>
  <mergeCells count="24">
    <mergeCell ref="A1:S1"/>
    <mergeCell ref="R10:S10"/>
    <mergeCell ref="R9:S9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S2:S3"/>
    <mergeCell ref="S4:S5"/>
    <mergeCell ref="I4:I5"/>
    <mergeCell ref="K4:L4"/>
    <mergeCell ref="M4:M5"/>
    <mergeCell ref="J2:N2"/>
    <mergeCell ref="J3:N3"/>
    <mergeCell ref="J4:J5"/>
    <mergeCell ref="N4:N5"/>
  </mergeCells>
  <pageMargins left="0.25" right="0.25" top="0.75" bottom="0.75" header="0.3" footer="0.3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0"/>
  <sheetViews>
    <sheetView zoomScale="78" zoomScaleNormal="78" workbookViewId="0">
      <selection activeCell="A2" sqref="A2:D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41</v>
      </c>
      <c r="B2" s="126"/>
      <c r="C2" s="126"/>
      <c r="D2" s="126"/>
      <c r="J2" s="124" t="s">
        <v>61</v>
      </c>
      <c r="K2" s="124"/>
      <c r="L2" s="124"/>
      <c r="M2" s="124"/>
      <c r="N2" s="124"/>
      <c r="O2" s="12" t="s">
        <v>25</v>
      </c>
      <c r="P2" s="13">
        <v>4.4000000000000004</v>
      </c>
      <c r="Q2" s="28" t="s">
        <v>73</v>
      </c>
      <c r="R2" s="28">
        <v>4.79</v>
      </c>
      <c r="S2" s="118" t="s">
        <v>75</v>
      </c>
    </row>
    <row r="3" spans="1:19" ht="20.100000000000001" customHeight="1" x14ac:dyDescent="0.25">
      <c r="J3" s="124" t="s">
        <v>61</v>
      </c>
      <c r="K3" s="124"/>
      <c r="L3" s="124"/>
      <c r="M3" s="124"/>
      <c r="N3" s="124"/>
      <c r="O3" s="12" t="s">
        <v>62</v>
      </c>
      <c r="P3" s="13">
        <v>4.79</v>
      </c>
      <c r="Q3" s="28" t="s">
        <v>74</v>
      </c>
      <c r="R3" s="28">
        <v>5.21</v>
      </c>
      <c r="S3" s="118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18</v>
      </c>
    </row>
    <row r="7" spans="1:19" ht="39.75" customHeight="1" x14ac:dyDescent="0.25">
      <c r="A7" s="18">
        <v>44805</v>
      </c>
      <c r="B7" s="10">
        <v>3111.3</v>
      </c>
      <c r="C7" s="10">
        <v>793.4</v>
      </c>
      <c r="D7" s="19" t="s">
        <v>34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579</v>
      </c>
      <c r="M7" s="10"/>
      <c r="N7" s="10"/>
      <c r="O7" s="53">
        <v>579.18299999999999</v>
      </c>
      <c r="P7" s="26">
        <f>O7*P2</f>
        <v>2548.4052000000001</v>
      </c>
      <c r="Q7" s="10"/>
      <c r="R7" s="10"/>
      <c r="S7" s="16">
        <v>0</v>
      </c>
    </row>
    <row r="8" spans="1:19" ht="39.75" customHeight="1" x14ac:dyDescent="0.25">
      <c r="A8" s="18">
        <v>44835</v>
      </c>
      <c r="B8" s="10">
        <v>3111.3</v>
      </c>
      <c r="C8" s="10">
        <v>793.4</v>
      </c>
      <c r="D8" s="19" t="s">
        <v>34</v>
      </c>
      <c r="E8" s="10" t="s">
        <v>23</v>
      </c>
      <c r="F8" s="11">
        <v>11025.56</v>
      </c>
      <c r="G8" s="11">
        <f>7827+561+409</f>
        <v>8797</v>
      </c>
      <c r="H8" s="11">
        <f>388+15+14+15</f>
        <v>432</v>
      </c>
      <c r="I8" s="11">
        <f>F8-(G8+H8)</f>
        <v>1796.5599999999995</v>
      </c>
      <c r="J8" s="24">
        <v>1797</v>
      </c>
      <c r="K8" s="27" t="s">
        <v>64</v>
      </c>
      <c r="L8" s="34">
        <v>1797</v>
      </c>
      <c r="M8" s="29">
        <f>L8*(1/B8)</f>
        <v>0.57757207598110116</v>
      </c>
      <c r="N8" s="29">
        <f>M8*P2</f>
        <v>2.5413171343168455</v>
      </c>
      <c r="O8" s="53">
        <v>579.18299999999999</v>
      </c>
      <c r="P8" s="26">
        <f>O8*P2</f>
        <v>2548.4052000000001</v>
      </c>
      <c r="Q8" s="28"/>
      <c r="R8" s="47">
        <f>J8-O8</f>
        <v>1217.817</v>
      </c>
      <c r="S8" s="16">
        <f>R8*P2</f>
        <v>5358.3948</v>
      </c>
    </row>
    <row r="9" spans="1:19" ht="39.75" customHeight="1" x14ac:dyDescent="0.25">
      <c r="A9" s="18">
        <v>44866</v>
      </c>
      <c r="B9" s="10">
        <v>3111.3</v>
      </c>
      <c r="C9" s="10">
        <v>793.4</v>
      </c>
      <c r="D9" s="19" t="s">
        <v>34</v>
      </c>
      <c r="E9" s="10" t="s">
        <v>23</v>
      </c>
      <c r="F9" s="7">
        <v>10614.24</v>
      </c>
      <c r="G9" s="7">
        <f>6951+455+111</f>
        <v>7517</v>
      </c>
      <c r="H9" s="7">
        <f>15+14+15+432</f>
        <v>476</v>
      </c>
      <c r="I9" s="8">
        <f t="shared" ref="I9:I10" si="0">F9-(G9+H9)</f>
        <v>2621.2399999999998</v>
      </c>
      <c r="J9" s="24">
        <v>2621</v>
      </c>
      <c r="K9" s="27" t="s">
        <v>66</v>
      </c>
      <c r="L9" s="34">
        <v>2621</v>
      </c>
      <c r="M9" s="28"/>
      <c r="N9" s="28"/>
      <c r="O9" s="26"/>
      <c r="P9" s="31">
        <f>O9*P2</f>
        <v>0</v>
      </c>
      <c r="Q9" s="28"/>
      <c r="R9" s="163" t="s">
        <v>58</v>
      </c>
      <c r="S9" s="164"/>
    </row>
    <row r="10" spans="1:19" ht="39.75" customHeight="1" x14ac:dyDescent="0.25">
      <c r="A10" s="18">
        <v>44896</v>
      </c>
      <c r="B10" s="4">
        <v>3111.3</v>
      </c>
      <c r="C10" s="4">
        <v>793.4</v>
      </c>
      <c r="D10" s="19" t="s">
        <v>34</v>
      </c>
      <c r="E10" s="4" t="s">
        <v>23</v>
      </c>
      <c r="F10" s="7">
        <v>9427</v>
      </c>
      <c r="G10" s="7">
        <f>7258+446+275</f>
        <v>7979</v>
      </c>
      <c r="H10" s="7">
        <f>405+15+14+15</f>
        <v>449</v>
      </c>
      <c r="I10" s="7">
        <f t="shared" si="0"/>
        <v>999</v>
      </c>
      <c r="J10" s="24">
        <v>999</v>
      </c>
      <c r="K10" s="27" t="s">
        <v>67</v>
      </c>
      <c r="L10" s="34">
        <v>999</v>
      </c>
      <c r="M10" s="28"/>
      <c r="N10" s="28"/>
      <c r="O10" s="31"/>
      <c r="P10" s="31">
        <f>O10*P2</f>
        <v>0</v>
      </c>
      <c r="Q10" s="28"/>
      <c r="R10" s="169"/>
      <c r="S10" s="170"/>
    </row>
  </sheetData>
  <sheetProtection algorithmName="SHA-512" hashValue="gmO9hqIPv74ZyDXuFoJkfRdIopTR0AFfQpYcDDN9nhCOtgf+8M/U9sQAhGdUyzVtQXnHI+K2aNXX9jdiDKOKIA==" saltValue="4aQu/Lo+MmVKpA0agEQ4nw==" spinCount="100000" sheet="1" objects="1" scenarios="1" selectLockedCells="1" selectUnlockedCells="1"/>
  <mergeCells count="24">
    <mergeCell ref="A1:S1"/>
    <mergeCell ref="R9:S9"/>
    <mergeCell ref="R10:S10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S2:S3"/>
    <mergeCell ref="S4:S5"/>
    <mergeCell ref="I4:I5"/>
    <mergeCell ref="K4:L4"/>
    <mergeCell ref="M4:M5"/>
    <mergeCell ref="J2:N2"/>
    <mergeCell ref="J3:N3"/>
    <mergeCell ref="J4:J5"/>
    <mergeCell ref="N4:N5"/>
  </mergeCells>
  <pageMargins left="0.25" right="0.25" top="0.75" bottom="0.75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9"/>
  <sheetViews>
    <sheetView zoomScale="70" zoomScaleNormal="70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42</v>
      </c>
      <c r="B2" s="126"/>
      <c r="C2" s="126"/>
      <c r="D2" s="126"/>
      <c r="J2" s="124" t="s">
        <v>61</v>
      </c>
      <c r="K2" s="124"/>
      <c r="L2" s="124"/>
      <c r="M2" s="124"/>
      <c r="N2" s="124"/>
      <c r="O2" s="12" t="s">
        <v>25</v>
      </c>
      <c r="P2" s="13">
        <v>4.4000000000000004</v>
      </c>
      <c r="Q2" s="28" t="s">
        <v>73</v>
      </c>
      <c r="R2" s="28">
        <v>4.79</v>
      </c>
      <c r="S2" s="118" t="s">
        <v>75</v>
      </c>
    </row>
    <row r="3" spans="1:19" ht="20.100000000000001" customHeight="1" x14ac:dyDescent="0.25">
      <c r="J3" s="124" t="s">
        <v>61</v>
      </c>
      <c r="K3" s="124"/>
      <c r="L3" s="124"/>
      <c r="M3" s="124"/>
      <c r="N3" s="124"/>
      <c r="O3" s="12" t="s">
        <v>62</v>
      </c>
      <c r="P3" s="13">
        <v>4.79</v>
      </c>
      <c r="Q3" s="28" t="s">
        <v>74</v>
      </c>
      <c r="R3" s="28">
        <v>5.21</v>
      </c>
      <c r="S3" s="118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18</v>
      </c>
    </row>
    <row r="7" spans="1:19" ht="39.75" customHeight="1" x14ac:dyDescent="0.25">
      <c r="A7" s="18">
        <v>44805</v>
      </c>
      <c r="B7" s="10">
        <v>1552.9</v>
      </c>
      <c r="C7" s="10">
        <v>825.6</v>
      </c>
      <c r="D7" s="19" t="s">
        <v>43</v>
      </c>
      <c r="E7" s="10" t="s">
        <v>23</v>
      </c>
      <c r="F7" s="11"/>
      <c r="G7" s="11"/>
      <c r="H7" s="11"/>
      <c r="I7" s="11"/>
      <c r="J7" s="24"/>
      <c r="K7" s="25" t="s">
        <v>65</v>
      </c>
      <c r="L7" s="43">
        <v>603</v>
      </c>
      <c r="M7" s="10"/>
      <c r="N7" s="10"/>
      <c r="O7" s="53">
        <v>602.68499999999995</v>
      </c>
      <c r="P7" s="26">
        <f>O7*P2</f>
        <v>2651.8139999999999</v>
      </c>
      <c r="Q7" s="10"/>
      <c r="R7" s="10"/>
      <c r="S7" s="16">
        <v>0</v>
      </c>
    </row>
    <row r="8" spans="1:19" ht="39.75" customHeight="1" x14ac:dyDescent="0.25">
      <c r="A8" s="18">
        <v>44835</v>
      </c>
      <c r="B8" s="10">
        <v>1552.9</v>
      </c>
      <c r="C8" s="10">
        <v>825.6</v>
      </c>
      <c r="D8" s="19" t="s">
        <v>43</v>
      </c>
      <c r="E8" s="10" t="s">
        <v>23</v>
      </c>
      <c r="F8" s="11">
        <v>2908.86</v>
      </c>
      <c r="G8" s="11">
        <f>2274+152+93</f>
        <v>2519</v>
      </c>
      <c r="H8" s="11">
        <f>16+17+15</f>
        <v>48</v>
      </c>
      <c r="I8" s="11">
        <f>F8-(G8+H8)</f>
        <v>341.86000000000013</v>
      </c>
      <c r="J8" s="24">
        <v>342</v>
      </c>
      <c r="K8" s="27" t="s">
        <v>64</v>
      </c>
      <c r="L8" s="44">
        <v>342</v>
      </c>
      <c r="M8" s="29"/>
      <c r="N8" s="29"/>
      <c r="O8" s="53">
        <v>602.68499999999995</v>
      </c>
      <c r="P8" s="26">
        <f>O8*P2</f>
        <v>2651.8139999999999</v>
      </c>
      <c r="Q8" s="47">
        <f>O8-L8</f>
        <v>260.68499999999995</v>
      </c>
      <c r="R8" s="47"/>
      <c r="S8" s="16">
        <f>-(Q8*P2)</f>
        <v>-1147.0139999999999</v>
      </c>
    </row>
    <row r="9" spans="1:19" ht="39.75" customHeight="1" x14ac:dyDescent="0.25">
      <c r="A9" s="18">
        <v>44866</v>
      </c>
      <c r="B9" s="10">
        <v>1552.9</v>
      </c>
      <c r="C9" s="10">
        <v>825.6</v>
      </c>
      <c r="D9" s="19" t="s">
        <v>43</v>
      </c>
      <c r="E9" s="10" t="s">
        <v>23</v>
      </c>
      <c r="F9" s="7">
        <v>3708.6</v>
      </c>
      <c r="G9" s="4">
        <f>1834+213+134</f>
        <v>2181</v>
      </c>
      <c r="H9" s="4">
        <f>16+17+15</f>
        <v>48</v>
      </c>
      <c r="I9" s="11">
        <f t="shared" ref="I9:I10" si="0">F9-(G9+H9)</f>
        <v>1479.6</v>
      </c>
      <c r="J9" s="24">
        <v>1480</v>
      </c>
      <c r="K9" s="27" t="s">
        <v>66</v>
      </c>
      <c r="L9" s="44">
        <v>1480</v>
      </c>
      <c r="M9" s="29">
        <f t="shared" ref="M9" si="1">L9*(1/B9)</f>
        <v>0.9530555734432351</v>
      </c>
      <c r="N9" s="29">
        <f>M9*P2</f>
        <v>4.1934445231502346</v>
      </c>
      <c r="O9" s="53">
        <v>602.68499999999995</v>
      </c>
      <c r="P9" s="31">
        <f>O9*P2</f>
        <v>2651.8139999999999</v>
      </c>
      <c r="Q9" s="47"/>
      <c r="R9" s="47">
        <f>J9-O9</f>
        <v>877.31500000000005</v>
      </c>
      <c r="S9" s="16">
        <f>R9*P2</f>
        <v>3860.1860000000006</v>
      </c>
    </row>
    <row r="10" spans="1:19" ht="39.75" customHeight="1" x14ac:dyDescent="0.25">
      <c r="A10" s="18">
        <v>44896</v>
      </c>
      <c r="B10" s="4">
        <v>1552.9</v>
      </c>
      <c r="C10" s="4">
        <v>825.6</v>
      </c>
      <c r="D10" s="19" t="s">
        <v>43</v>
      </c>
      <c r="E10" s="4" t="s">
        <v>23</v>
      </c>
      <c r="F10" s="4">
        <f>3358</f>
        <v>3358</v>
      </c>
      <c r="G10" s="4">
        <f>2829+137+85</f>
        <v>3051</v>
      </c>
      <c r="H10" s="4">
        <f>16+17+15</f>
        <v>48</v>
      </c>
      <c r="I10" s="6">
        <f t="shared" si="0"/>
        <v>259</v>
      </c>
      <c r="J10" s="24">
        <v>259</v>
      </c>
      <c r="K10" s="27" t="s">
        <v>67</v>
      </c>
      <c r="L10" s="44">
        <f>J10</f>
        <v>259</v>
      </c>
      <c r="M10" s="29"/>
      <c r="N10" s="29"/>
      <c r="O10" s="55">
        <v>602.68499999999995</v>
      </c>
      <c r="P10" s="31">
        <f>O10*P3</f>
        <v>2886.8611499999997</v>
      </c>
      <c r="Q10" s="47">
        <f>O10-I10</f>
        <v>343.68499999999995</v>
      </c>
      <c r="R10" s="47"/>
      <c r="S10" s="16">
        <f>-(Q10*P3)</f>
        <v>-1646.2511499999998</v>
      </c>
    </row>
    <row r="11" spans="1:19" ht="20.100000000000001" hidden="1" customHeight="1" x14ac:dyDescent="0.25">
      <c r="A11" s="1"/>
      <c r="B11" s="1"/>
      <c r="C11" s="1"/>
      <c r="K11" s="42"/>
      <c r="Q11" s="20">
        <f>Q10+Q8</f>
        <v>604.36999999999989</v>
      </c>
      <c r="R11" s="20">
        <f>R9</f>
        <v>877.31500000000005</v>
      </c>
      <c r="S11" s="15">
        <f>SUM(S7:S10)</f>
        <v>1066.9208500000007</v>
      </c>
    </row>
    <row r="12" spans="1:19" ht="20.100000000000001" hidden="1" customHeight="1" x14ac:dyDescent="0.25">
      <c r="A12" s="1"/>
      <c r="B12" s="1"/>
      <c r="C12" s="1"/>
      <c r="K12" s="42"/>
      <c r="S12" s="17"/>
    </row>
    <row r="13" spans="1:19" ht="20.100000000000001" hidden="1" customHeight="1" x14ac:dyDescent="0.25">
      <c r="A13" s="1"/>
      <c r="B13" s="1"/>
      <c r="C13" s="1"/>
      <c r="K13" s="42"/>
      <c r="S13" s="17"/>
    </row>
    <row r="14" spans="1:19" ht="39.75" customHeight="1" x14ac:dyDescent="0.25">
      <c r="A14" s="18">
        <v>44927</v>
      </c>
      <c r="B14" s="4">
        <v>1552.9</v>
      </c>
      <c r="C14" s="4">
        <v>825.6</v>
      </c>
      <c r="D14" s="19" t="s">
        <v>43</v>
      </c>
      <c r="E14" s="4" t="s">
        <v>23</v>
      </c>
      <c r="F14" s="4">
        <v>3829</v>
      </c>
      <c r="G14" s="4">
        <v>3126</v>
      </c>
      <c r="H14" s="4">
        <v>48</v>
      </c>
      <c r="I14" s="6">
        <f t="shared" ref="I14" si="2">F14-(G14+H14)</f>
        <v>655</v>
      </c>
      <c r="J14" s="24">
        <v>655</v>
      </c>
      <c r="K14" s="27"/>
      <c r="L14" s="44">
        <f>J14</f>
        <v>655</v>
      </c>
      <c r="M14" s="29"/>
      <c r="N14" s="29"/>
      <c r="O14" s="55">
        <v>602.68499999999995</v>
      </c>
      <c r="P14" s="31">
        <f>O14*P3</f>
        <v>2886.8611499999997</v>
      </c>
      <c r="Q14" s="47"/>
      <c r="R14" s="47">
        <f>J14-O14</f>
        <v>52.315000000000055</v>
      </c>
      <c r="S14" s="16">
        <f>-(R14*P3)</f>
        <v>-250.58885000000026</v>
      </c>
    </row>
    <row r="15" spans="1:19" ht="39.75" customHeight="1" x14ac:dyDescent="0.25">
      <c r="A15" s="18">
        <v>44958</v>
      </c>
      <c r="B15" s="4">
        <v>1552.9</v>
      </c>
      <c r="C15" s="4">
        <v>825.6</v>
      </c>
      <c r="D15" s="19" t="s">
        <v>43</v>
      </c>
      <c r="E15" s="4" t="s">
        <v>23</v>
      </c>
      <c r="F15" s="4">
        <v>2356</v>
      </c>
      <c r="G15" s="4">
        <v>2552</v>
      </c>
      <c r="H15" s="4">
        <v>48</v>
      </c>
      <c r="I15" s="6">
        <f t="shared" ref="I15:I19" si="3">F15-(G15+H15)</f>
        <v>-244</v>
      </c>
      <c r="J15" s="24"/>
      <c r="K15" s="27"/>
      <c r="L15" s="44"/>
      <c r="M15" s="29"/>
      <c r="N15" s="29"/>
      <c r="O15" s="55">
        <v>602.68499999999995</v>
      </c>
      <c r="P15" s="31">
        <f>O15*P3</f>
        <v>2886.8611499999997</v>
      </c>
      <c r="Q15" s="47">
        <f>O15-J15</f>
        <v>602.68499999999995</v>
      </c>
      <c r="R15" s="47"/>
      <c r="S15" s="16">
        <f>-(Q15*P3)</f>
        <v>-2886.8611499999997</v>
      </c>
    </row>
    <row r="16" spans="1:19" ht="39.75" customHeight="1" x14ac:dyDescent="0.25">
      <c r="A16" s="18">
        <v>44986</v>
      </c>
      <c r="B16" s="4">
        <v>1552.9</v>
      </c>
      <c r="C16" s="4">
        <v>825.6</v>
      </c>
      <c r="D16" s="19" t="s">
        <v>43</v>
      </c>
      <c r="E16" s="4" t="s">
        <v>23</v>
      </c>
      <c r="F16" s="4">
        <v>2897</v>
      </c>
      <c r="G16" s="4">
        <v>2178</v>
      </c>
      <c r="H16" s="4">
        <v>48</v>
      </c>
      <c r="I16" s="6">
        <f t="shared" si="3"/>
        <v>671</v>
      </c>
      <c r="J16" s="24">
        <f>I16+I15</f>
        <v>427</v>
      </c>
      <c r="K16" s="27"/>
      <c r="L16" s="44">
        <f>J16</f>
        <v>427</v>
      </c>
      <c r="M16" s="29"/>
      <c r="N16" s="29"/>
      <c r="O16" s="55">
        <v>602.68499999999995</v>
      </c>
      <c r="P16" s="31">
        <f>O16*P3</f>
        <v>2886.8611499999997</v>
      </c>
      <c r="Q16" s="47">
        <f>O16-J16</f>
        <v>175.68499999999995</v>
      </c>
      <c r="R16" s="47"/>
      <c r="S16" s="16">
        <f>-(Q16*P3)</f>
        <v>-841.5311499999998</v>
      </c>
    </row>
    <row r="17" spans="1:19" ht="39.75" customHeight="1" x14ac:dyDescent="0.25">
      <c r="A17" s="18">
        <v>45017</v>
      </c>
      <c r="B17" s="4">
        <v>1552.9</v>
      </c>
      <c r="C17" s="4">
        <v>825.6</v>
      </c>
      <c r="D17" s="19" t="s">
        <v>43</v>
      </c>
      <c r="E17" s="4" t="s">
        <v>23</v>
      </c>
      <c r="F17" s="4">
        <v>2486</v>
      </c>
      <c r="G17" s="4">
        <v>1670</v>
      </c>
      <c r="H17" s="4">
        <v>48</v>
      </c>
      <c r="I17" s="6">
        <f t="shared" si="3"/>
        <v>768</v>
      </c>
      <c r="J17" s="24">
        <f>I17</f>
        <v>768</v>
      </c>
      <c r="K17" s="27"/>
      <c r="L17" s="44">
        <f>J17</f>
        <v>768</v>
      </c>
      <c r="M17" s="29"/>
      <c r="N17" s="29"/>
      <c r="O17" s="55">
        <v>602.68499999999995</v>
      </c>
      <c r="P17" s="31">
        <f>O17*P3</f>
        <v>2886.8611499999997</v>
      </c>
      <c r="Q17" s="47"/>
      <c r="R17" s="47">
        <f>J17-O17</f>
        <v>165.31500000000005</v>
      </c>
      <c r="S17" s="16">
        <f>-(Q17*P3)</f>
        <v>0</v>
      </c>
    </row>
    <row r="18" spans="1:19" ht="39.75" customHeight="1" x14ac:dyDescent="0.25">
      <c r="A18" s="18">
        <v>45047</v>
      </c>
      <c r="B18" s="4">
        <v>1552.9</v>
      </c>
      <c r="C18" s="4">
        <v>825.6</v>
      </c>
      <c r="D18" s="19" t="s">
        <v>43</v>
      </c>
      <c r="E18" s="4" t="s">
        <v>23</v>
      </c>
      <c r="F18" s="4">
        <v>3336</v>
      </c>
      <c r="G18" s="4">
        <v>2550</v>
      </c>
      <c r="H18" s="4">
        <v>48</v>
      </c>
      <c r="I18" s="6">
        <f t="shared" si="3"/>
        <v>738</v>
      </c>
      <c r="J18" s="24">
        <f>I18</f>
        <v>738</v>
      </c>
      <c r="K18" s="27"/>
      <c r="L18" s="44"/>
      <c r="M18" s="29"/>
      <c r="N18" s="29"/>
      <c r="O18" s="55">
        <v>602.68499999999995</v>
      </c>
      <c r="P18" s="31">
        <f>O18*P3</f>
        <v>2886.8611499999997</v>
      </c>
      <c r="Q18" s="47"/>
      <c r="R18" s="47">
        <f>J18-O18</f>
        <v>135.31500000000005</v>
      </c>
      <c r="S18" s="16">
        <f>-(Q18*P3)</f>
        <v>0</v>
      </c>
    </row>
    <row r="19" spans="1:19" ht="39.75" customHeight="1" x14ac:dyDescent="0.25">
      <c r="A19" s="18">
        <v>45078</v>
      </c>
      <c r="B19" s="4">
        <v>1552.9</v>
      </c>
      <c r="C19" s="4">
        <v>825.6</v>
      </c>
      <c r="D19" s="19" t="s">
        <v>43</v>
      </c>
      <c r="E19" s="4" t="s">
        <v>23</v>
      </c>
      <c r="F19" s="4"/>
      <c r="G19" s="4"/>
      <c r="H19" s="4"/>
      <c r="I19" s="6">
        <f t="shared" si="3"/>
        <v>0</v>
      </c>
      <c r="J19" s="24"/>
      <c r="K19" s="27"/>
      <c r="L19" s="44"/>
      <c r="M19" s="29"/>
      <c r="N19" s="29"/>
      <c r="O19" s="55">
        <v>602.68499999999995</v>
      </c>
      <c r="P19" s="31">
        <f>O19*P3</f>
        <v>2886.8611499999997</v>
      </c>
      <c r="Q19" s="47"/>
      <c r="R19" s="47"/>
      <c r="S19" s="16">
        <f>-(Q19*P3)</f>
        <v>0</v>
      </c>
    </row>
  </sheetData>
  <sheetProtection algorithmName="SHA-512" hashValue="kqbPQZwLkpSvdaXseCHGbDmAFKC1XndihhfRfJP9B2gnJFZTkJkVgPUzvJ5NGrwdN+COSrUI+QNRMRVQLHkpxw==" saltValue="QmW7aTw03JOubWdMvKzs/g==" spinCount="100000" sheet="1" objects="1" scenarios="1" selectLockedCells="1" selectUnlockedCells="1"/>
  <mergeCells count="22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S2:S3"/>
    <mergeCell ref="S4:S5"/>
    <mergeCell ref="M4:M5"/>
    <mergeCell ref="J2:N2"/>
    <mergeCell ref="J3:N3"/>
    <mergeCell ref="J4:J5"/>
    <mergeCell ref="N4:N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tabSelected="1" zoomScale="78" zoomScaleNormal="78" workbookViewId="0">
      <selection activeCell="R55" sqref="R55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44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3177.6</v>
      </c>
      <c r="C7" s="10">
        <v>988.7</v>
      </c>
      <c r="D7" s="19" t="s">
        <v>45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722</v>
      </c>
      <c r="M7" s="10"/>
      <c r="N7" s="10"/>
      <c r="O7" s="53">
        <v>721.75300000000004</v>
      </c>
      <c r="P7" s="26">
        <f>O7*M2</f>
        <v>3175.7132000000006</v>
      </c>
      <c r="Q7" s="10"/>
      <c r="R7" s="10"/>
      <c r="S7" s="16">
        <v>0</v>
      </c>
    </row>
    <row r="8" spans="1:19" ht="39.75" hidden="1" customHeight="1" x14ac:dyDescent="0.25">
      <c r="A8" s="18">
        <v>44835</v>
      </c>
      <c r="B8" s="10">
        <v>3177.6</v>
      </c>
      <c r="C8" s="10">
        <v>988.7</v>
      </c>
      <c r="D8" s="19" t="s">
        <v>45</v>
      </c>
      <c r="E8" s="10" t="s">
        <v>23</v>
      </c>
      <c r="F8" s="11">
        <v>5562.88</v>
      </c>
      <c r="G8" s="11">
        <f>5975+72+29</f>
        <v>6076</v>
      </c>
      <c r="H8" s="11">
        <f>1620+34+28+15</f>
        <v>1697</v>
      </c>
      <c r="I8" s="11">
        <f>F8-(G8+H8)</f>
        <v>-2210.12</v>
      </c>
      <c r="J8" s="24">
        <f>I8</f>
        <v>-2210.12</v>
      </c>
      <c r="K8" s="27" t="s">
        <v>64</v>
      </c>
      <c r="L8" s="34">
        <v>0</v>
      </c>
      <c r="M8" s="29">
        <f>L8*(1/B8)</f>
        <v>0</v>
      </c>
      <c r="N8" s="29">
        <f>M8*M2</f>
        <v>0</v>
      </c>
      <c r="O8" s="53">
        <v>721.75300000000004</v>
      </c>
      <c r="P8" s="26">
        <f>O8*M2</f>
        <v>3175.7132000000006</v>
      </c>
      <c r="Q8" s="47">
        <f>O8</f>
        <v>721.75300000000004</v>
      </c>
      <c r="R8" s="28"/>
      <c r="S8" s="16">
        <f>-(Q8*M2)</f>
        <v>-3175.7132000000006</v>
      </c>
    </row>
    <row r="9" spans="1:19" ht="39.75" hidden="1" customHeight="1" x14ac:dyDescent="0.25">
      <c r="A9" s="18">
        <v>44866</v>
      </c>
      <c r="B9" s="10">
        <v>3177.6</v>
      </c>
      <c r="C9" s="10">
        <v>988.7</v>
      </c>
      <c r="D9" s="19" t="s">
        <v>45</v>
      </c>
      <c r="E9" s="10" t="s">
        <v>23</v>
      </c>
      <c r="F9" s="7">
        <v>6281.04</v>
      </c>
      <c r="G9" s="4">
        <f>6387+72+29</f>
        <v>6488</v>
      </c>
      <c r="H9" s="4">
        <f>34+28+15</f>
        <v>77</v>
      </c>
      <c r="I9" s="11">
        <f t="shared" ref="I9:I22" si="0">F9-(G9+H9)</f>
        <v>-283.96000000000004</v>
      </c>
      <c r="J9" s="24">
        <f>J8+I9</f>
        <v>-2494.08</v>
      </c>
      <c r="K9" s="27" t="s">
        <v>66</v>
      </c>
      <c r="L9" s="34">
        <v>0</v>
      </c>
      <c r="M9" s="28"/>
      <c r="N9" s="28"/>
      <c r="O9" s="53">
        <v>721.75300000000004</v>
      </c>
      <c r="P9" s="31">
        <f>O9*M2</f>
        <v>3175.7132000000006</v>
      </c>
      <c r="Q9" s="47">
        <f>O9</f>
        <v>721.75300000000004</v>
      </c>
      <c r="R9" s="28"/>
      <c r="S9" s="16">
        <f>-(Q9*M2)</f>
        <v>-3175.7132000000006</v>
      </c>
    </row>
    <row r="10" spans="1:19" ht="39.75" hidden="1" customHeight="1" x14ac:dyDescent="0.25">
      <c r="A10" s="18">
        <v>44896</v>
      </c>
      <c r="B10" s="4">
        <v>3177.6</v>
      </c>
      <c r="C10" s="4">
        <v>988.7</v>
      </c>
      <c r="D10" s="19" t="s">
        <v>45</v>
      </c>
      <c r="E10" s="4" t="s">
        <v>23</v>
      </c>
      <c r="F10" s="7">
        <v>5907</v>
      </c>
      <c r="G10" s="4">
        <f>4027+560+317</f>
        <v>4904</v>
      </c>
      <c r="H10" s="4">
        <f>34+28+15</f>
        <v>77</v>
      </c>
      <c r="I10" s="6">
        <f t="shared" si="0"/>
        <v>926</v>
      </c>
      <c r="J10" s="24">
        <f>J9+I10</f>
        <v>-1568.08</v>
      </c>
      <c r="K10" s="27" t="s">
        <v>67</v>
      </c>
      <c r="L10" s="34">
        <v>0</v>
      </c>
      <c r="M10" s="28"/>
      <c r="N10" s="28"/>
      <c r="O10" s="55">
        <v>721.75300000000004</v>
      </c>
      <c r="P10" s="31">
        <f>O10*M2</f>
        <v>3175.7132000000006</v>
      </c>
      <c r="Q10" s="47">
        <f>O10</f>
        <v>721.75300000000004</v>
      </c>
      <c r="R10" s="30"/>
      <c r="S10" s="16">
        <f>Q10*M3</f>
        <v>3457.1968700000002</v>
      </c>
    </row>
    <row r="11" spans="1:19" ht="31.5" hidden="1" customHeight="1" x14ac:dyDescent="0.25">
      <c r="A11" s="57">
        <v>44927</v>
      </c>
      <c r="B11" s="58">
        <v>3177.6</v>
      </c>
      <c r="C11" s="58">
        <v>988.7</v>
      </c>
      <c r="D11" s="59" t="s">
        <v>45</v>
      </c>
      <c r="E11" s="58" t="s">
        <v>23</v>
      </c>
      <c r="F11" s="60">
        <v>6070.96</v>
      </c>
      <c r="G11" s="60">
        <f>5220+166+83</f>
        <v>5469</v>
      </c>
      <c r="H11" s="60">
        <f>34+28+15</f>
        <v>77</v>
      </c>
      <c r="I11" s="60">
        <f t="shared" si="0"/>
        <v>524.96</v>
      </c>
      <c r="J11" s="61">
        <f>-I11</f>
        <v>-524.96</v>
      </c>
      <c r="K11" s="80" t="s">
        <v>76</v>
      </c>
      <c r="L11" s="62">
        <f>IF(J11&lt;0,0,I11)</f>
        <v>0</v>
      </c>
      <c r="M11" s="63"/>
      <c r="N11" s="63"/>
      <c r="O11" s="69">
        <v>721.75300000000004</v>
      </c>
      <c r="P11" s="65">
        <f>O11*M3</f>
        <v>3457.1968700000002</v>
      </c>
      <c r="Q11" s="66">
        <f>-O11</f>
        <v>-721.75300000000004</v>
      </c>
      <c r="R11" s="66"/>
      <c r="S11" s="67">
        <f>Q11*M3</f>
        <v>-3457.1968700000002</v>
      </c>
    </row>
    <row r="12" spans="1:19" ht="31.5" hidden="1" customHeight="1" x14ac:dyDescent="0.25">
      <c r="A12" s="57">
        <v>44958</v>
      </c>
      <c r="B12" s="58">
        <v>3177.6</v>
      </c>
      <c r="C12" s="58">
        <v>988.7</v>
      </c>
      <c r="D12" s="59" t="s">
        <v>45</v>
      </c>
      <c r="E12" s="58" t="s">
        <v>23</v>
      </c>
      <c r="F12" s="60">
        <v>4242.4799999999996</v>
      </c>
      <c r="G12" s="60">
        <f>5232+154+60</f>
        <v>5446</v>
      </c>
      <c r="H12" s="60">
        <f>34+28+15</f>
        <v>77</v>
      </c>
      <c r="I12" s="60">
        <f t="shared" si="0"/>
        <v>-1280.5200000000004</v>
      </c>
      <c r="J12" s="61">
        <f>I12+J11</f>
        <v>-1805.4800000000005</v>
      </c>
      <c r="K12" s="80"/>
      <c r="L12" s="62">
        <f t="shared" ref="L12:L22" si="1">IF(J12&lt;0,0,I12)</f>
        <v>0</v>
      </c>
      <c r="M12" s="63"/>
      <c r="N12" s="63"/>
      <c r="O12" s="69">
        <v>721.75300000000004</v>
      </c>
      <c r="P12" s="65">
        <f>O12*M3</f>
        <v>3457.1968700000002</v>
      </c>
      <c r="Q12" s="66">
        <f t="shared" ref="Q12:Q14" si="2">-O12</f>
        <v>-721.75300000000004</v>
      </c>
      <c r="R12" s="66"/>
      <c r="S12" s="67">
        <f>Q12*M3</f>
        <v>-3457.1968700000002</v>
      </c>
    </row>
    <row r="13" spans="1:19" ht="31.5" hidden="1" customHeight="1" x14ac:dyDescent="0.25">
      <c r="A13" s="57">
        <v>44986</v>
      </c>
      <c r="B13" s="58">
        <v>3177.6</v>
      </c>
      <c r="C13" s="58">
        <v>988.7</v>
      </c>
      <c r="D13" s="59" t="s">
        <v>45</v>
      </c>
      <c r="E13" s="58" t="s">
        <v>23</v>
      </c>
      <c r="F13" s="60">
        <v>6316.32</v>
      </c>
      <c r="G13" s="60">
        <f>5260+103+11</f>
        <v>5374</v>
      </c>
      <c r="H13" s="60">
        <f>34+28+15</f>
        <v>77</v>
      </c>
      <c r="I13" s="60">
        <f t="shared" si="0"/>
        <v>865.31999999999971</v>
      </c>
      <c r="J13" s="61">
        <f>I13+J12</f>
        <v>-940.16000000000076</v>
      </c>
      <c r="K13" s="80" t="s">
        <v>77</v>
      </c>
      <c r="L13" s="62">
        <f t="shared" si="1"/>
        <v>0</v>
      </c>
      <c r="M13" s="63"/>
      <c r="N13" s="63"/>
      <c r="O13" s="69">
        <v>721.75300000000004</v>
      </c>
      <c r="P13" s="65">
        <f>O13*M3</f>
        <v>3457.1968700000002</v>
      </c>
      <c r="Q13" s="66">
        <f t="shared" si="2"/>
        <v>-721.75300000000004</v>
      </c>
      <c r="R13" s="66"/>
      <c r="S13" s="67">
        <f>Q13*M3</f>
        <v>-3457.1968700000002</v>
      </c>
    </row>
    <row r="14" spans="1:19" ht="31.5" hidden="1" customHeight="1" x14ac:dyDescent="0.25">
      <c r="A14" s="57">
        <v>45017</v>
      </c>
      <c r="B14" s="58">
        <v>3177.6</v>
      </c>
      <c r="C14" s="58">
        <v>988.7</v>
      </c>
      <c r="D14" s="59" t="s">
        <v>45</v>
      </c>
      <c r="E14" s="58" t="s">
        <v>23</v>
      </c>
      <c r="F14" s="60">
        <v>5328.24</v>
      </c>
      <c r="G14" s="60">
        <f>4534+156+56</f>
        <v>4746</v>
      </c>
      <c r="H14" s="60">
        <f t="shared" ref="H14:H22" si="3">34+28+15</f>
        <v>77</v>
      </c>
      <c r="I14" s="60">
        <f t="shared" si="0"/>
        <v>505.23999999999978</v>
      </c>
      <c r="J14" s="61">
        <f>I14+J13</f>
        <v>-434.92000000000098</v>
      </c>
      <c r="K14" s="80" t="s">
        <v>78</v>
      </c>
      <c r="L14" s="62">
        <v>0</v>
      </c>
      <c r="M14" s="63"/>
      <c r="N14" s="63"/>
      <c r="O14" s="69">
        <v>721.75300000000004</v>
      </c>
      <c r="P14" s="65">
        <f>O14*M3</f>
        <v>3457.1968700000002</v>
      </c>
      <c r="Q14" s="66">
        <f t="shared" si="2"/>
        <v>-721.75300000000004</v>
      </c>
      <c r="R14" s="66"/>
      <c r="S14" s="67">
        <f>Q14*M3</f>
        <v>-3457.1968700000002</v>
      </c>
    </row>
    <row r="15" spans="1:19" ht="31.5" hidden="1" customHeight="1" x14ac:dyDescent="0.25">
      <c r="A15" s="57">
        <v>45047</v>
      </c>
      <c r="B15" s="58">
        <v>3177.6</v>
      </c>
      <c r="C15" s="58">
        <v>988.7</v>
      </c>
      <c r="D15" s="59" t="s">
        <v>45</v>
      </c>
      <c r="E15" s="58" t="s">
        <v>23</v>
      </c>
      <c r="F15" s="60">
        <v>7116.4</v>
      </c>
      <c r="G15" s="60">
        <f>4353+239+102</f>
        <v>4694</v>
      </c>
      <c r="H15" s="60">
        <f t="shared" si="3"/>
        <v>77</v>
      </c>
      <c r="I15" s="60">
        <f t="shared" si="0"/>
        <v>2345.3999999999996</v>
      </c>
      <c r="J15" s="61">
        <f>I15-954</f>
        <v>1391.3999999999996</v>
      </c>
      <c r="K15" s="80" t="s">
        <v>79</v>
      </c>
      <c r="L15" s="62">
        <f>J15</f>
        <v>1391.3999999999996</v>
      </c>
      <c r="M15" s="63"/>
      <c r="N15" s="63"/>
      <c r="O15" s="69">
        <v>721.75300000000004</v>
      </c>
      <c r="P15" s="65">
        <f>O15*M3</f>
        <v>3457.1968700000002</v>
      </c>
      <c r="Q15" s="66"/>
      <c r="R15" s="66">
        <f t="shared" ref="R15:R19" si="4">J15-O15</f>
        <v>669.64699999999959</v>
      </c>
      <c r="S15" s="67">
        <f>R15*M3</f>
        <v>3207.609129999998</v>
      </c>
    </row>
    <row r="16" spans="1:19" ht="31.5" hidden="1" customHeight="1" x14ac:dyDescent="0.25">
      <c r="A16" s="57">
        <v>45078</v>
      </c>
      <c r="B16" s="58">
        <v>3177.6</v>
      </c>
      <c r="C16" s="58">
        <v>988.7</v>
      </c>
      <c r="D16" s="59" t="s">
        <v>45</v>
      </c>
      <c r="E16" s="58" t="s">
        <v>23</v>
      </c>
      <c r="F16" s="60">
        <v>5670.64</v>
      </c>
      <c r="G16" s="60">
        <f>5721+126+34</f>
        <v>5881</v>
      </c>
      <c r="H16" s="60">
        <f t="shared" si="3"/>
        <v>77</v>
      </c>
      <c r="I16" s="60">
        <f t="shared" si="0"/>
        <v>-287.35999999999967</v>
      </c>
      <c r="J16" s="61">
        <f t="shared" ref="J16:J20" si="5">I16</f>
        <v>-287.35999999999967</v>
      </c>
      <c r="K16" s="80" t="s">
        <v>80</v>
      </c>
      <c r="L16" s="62">
        <f t="shared" si="1"/>
        <v>0</v>
      </c>
      <c r="M16" s="63"/>
      <c r="N16" s="63"/>
      <c r="O16" s="69">
        <v>721.75300000000004</v>
      </c>
      <c r="P16" s="65">
        <f>O16*M3</f>
        <v>3457.1968700000002</v>
      </c>
      <c r="Q16" s="66">
        <f>-O16</f>
        <v>-721.75300000000004</v>
      </c>
      <c r="R16" s="66"/>
      <c r="S16" s="67">
        <f>Q16*M3</f>
        <v>-3457.1968700000002</v>
      </c>
    </row>
    <row r="17" spans="1:19" ht="31.5" hidden="1" customHeight="1" x14ac:dyDescent="0.25">
      <c r="A17" s="57">
        <v>45108</v>
      </c>
      <c r="B17" s="58">
        <v>3177.6</v>
      </c>
      <c r="C17" s="58">
        <v>988.7</v>
      </c>
      <c r="D17" s="59" t="s">
        <v>45</v>
      </c>
      <c r="E17" s="58" t="s">
        <v>23</v>
      </c>
      <c r="F17" s="60">
        <v>4998.96</v>
      </c>
      <c r="G17" s="60">
        <f>4865+118+41</f>
        <v>5024</v>
      </c>
      <c r="H17" s="60">
        <f t="shared" si="3"/>
        <v>77</v>
      </c>
      <c r="I17" s="60">
        <f t="shared" si="0"/>
        <v>-102.03999999999996</v>
      </c>
      <c r="J17" s="61">
        <f>I17+J16</f>
        <v>-389.39999999999964</v>
      </c>
      <c r="K17" s="80" t="s">
        <v>81</v>
      </c>
      <c r="L17" s="62">
        <f t="shared" si="1"/>
        <v>0</v>
      </c>
      <c r="M17" s="63"/>
      <c r="N17" s="63"/>
      <c r="O17" s="69">
        <v>721.75300000000004</v>
      </c>
      <c r="P17" s="65">
        <f>O17*M3</f>
        <v>3457.1968700000002</v>
      </c>
      <c r="Q17" s="66">
        <f>-O17</f>
        <v>-721.75300000000004</v>
      </c>
      <c r="R17" s="66"/>
      <c r="S17" s="67">
        <f>Q17*M3</f>
        <v>-3457.1968700000002</v>
      </c>
    </row>
    <row r="18" spans="1:19" ht="31.5" hidden="1" customHeight="1" x14ac:dyDescent="0.25">
      <c r="A18" s="57">
        <v>45139</v>
      </c>
      <c r="B18" s="58">
        <v>3177.6</v>
      </c>
      <c r="C18" s="58">
        <v>988.7</v>
      </c>
      <c r="D18" s="59" t="s">
        <v>45</v>
      </c>
      <c r="E18" s="58" t="s">
        <v>23</v>
      </c>
      <c r="F18" s="60">
        <v>5812.48</v>
      </c>
      <c r="G18" s="60">
        <f>4237+146+109</f>
        <v>4492</v>
      </c>
      <c r="H18" s="60">
        <f t="shared" si="3"/>
        <v>77</v>
      </c>
      <c r="I18" s="60">
        <f t="shared" si="0"/>
        <v>1243.4799999999996</v>
      </c>
      <c r="J18" s="61">
        <f>I18+J17</f>
        <v>854.07999999999993</v>
      </c>
      <c r="K18" s="80" t="s">
        <v>82</v>
      </c>
      <c r="L18" s="62">
        <f>J18</f>
        <v>854.07999999999993</v>
      </c>
      <c r="M18" s="63"/>
      <c r="N18" s="63"/>
      <c r="O18" s="69">
        <v>721.75300000000004</v>
      </c>
      <c r="P18" s="65">
        <f>O18*M3</f>
        <v>3457.1968700000002</v>
      </c>
      <c r="Q18" s="66"/>
      <c r="R18" s="66">
        <f>L18-O18</f>
        <v>132.32699999999988</v>
      </c>
      <c r="S18" s="67">
        <f>R18*M3</f>
        <v>633.8463299999994</v>
      </c>
    </row>
    <row r="19" spans="1:19" ht="31.5" hidden="1" customHeight="1" x14ac:dyDescent="0.25">
      <c r="A19" s="57">
        <v>45170</v>
      </c>
      <c r="B19" s="58">
        <v>3177.6</v>
      </c>
      <c r="C19" s="58">
        <v>988.7</v>
      </c>
      <c r="D19" s="59" t="s">
        <v>45</v>
      </c>
      <c r="E19" s="58" t="s">
        <v>23</v>
      </c>
      <c r="F19" s="60">
        <v>5975.12</v>
      </c>
      <c r="G19" s="60">
        <f>4387+193+77</f>
        <v>4657</v>
      </c>
      <c r="H19" s="60">
        <f t="shared" si="3"/>
        <v>77</v>
      </c>
      <c r="I19" s="60">
        <f t="shared" si="0"/>
        <v>1241.1199999999999</v>
      </c>
      <c r="J19" s="61">
        <f t="shared" si="5"/>
        <v>1241.1199999999999</v>
      </c>
      <c r="K19" s="80" t="s">
        <v>83</v>
      </c>
      <c r="L19" s="62">
        <f t="shared" si="1"/>
        <v>1241.1199999999999</v>
      </c>
      <c r="M19" s="63"/>
      <c r="N19" s="63"/>
      <c r="O19" s="69">
        <v>721.75300000000004</v>
      </c>
      <c r="P19" s="65">
        <f>O19*M3</f>
        <v>3457.1968700000002</v>
      </c>
      <c r="Q19" s="66"/>
      <c r="R19" s="66">
        <f t="shared" si="4"/>
        <v>519.36699999999985</v>
      </c>
      <c r="S19" s="67">
        <f>R19*M3</f>
        <v>2487.7679299999991</v>
      </c>
    </row>
    <row r="20" spans="1:19" ht="31.5" hidden="1" customHeight="1" x14ac:dyDescent="0.25">
      <c r="A20" s="57">
        <v>45200</v>
      </c>
      <c r="B20" s="58">
        <v>3177.6</v>
      </c>
      <c r="C20" s="58">
        <v>988.7</v>
      </c>
      <c r="D20" s="59" t="s">
        <v>45</v>
      </c>
      <c r="E20" s="58" t="s">
        <v>23</v>
      </c>
      <c r="F20" s="60">
        <v>6867.76</v>
      </c>
      <c r="G20" s="60">
        <f>6988+346+90</f>
        <v>7424</v>
      </c>
      <c r="H20" s="60">
        <f t="shared" si="3"/>
        <v>77</v>
      </c>
      <c r="I20" s="60">
        <f t="shared" si="0"/>
        <v>-633.23999999999978</v>
      </c>
      <c r="J20" s="61">
        <f t="shared" si="5"/>
        <v>-633.23999999999978</v>
      </c>
      <c r="K20" s="80" t="s">
        <v>84</v>
      </c>
      <c r="L20" s="62">
        <f t="shared" si="1"/>
        <v>0</v>
      </c>
      <c r="M20" s="63"/>
      <c r="N20" s="63"/>
      <c r="O20" s="69">
        <v>721.75300000000004</v>
      </c>
      <c r="P20" s="65">
        <f>O20*M3</f>
        <v>3457.1968700000002</v>
      </c>
      <c r="Q20" s="66">
        <f t="shared" ref="Q20:Q22" si="6">-O20</f>
        <v>-721.75300000000004</v>
      </c>
      <c r="R20" s="66"/>
      <c r="S20" s="67">
        <f>S17+S18</f>
        <v>-2823.3505400000008</v>
      </c>
    </row>
    <row r="21" spans="1:19" ht="31.5" hidden="1" customHeight="1" x14ac:dyDescent="0.25">
      <c r="A21" s="57">
        <v>45231</v>
      </c>
      <c r="B21" s="58">
        <v>3177.6</v>
      </c>
      <c r="C21" s="58">
        <v>988.7</v>
      </c>
      <c r="D21" s="59" t="s">
        <v>45</v>
      </c>
      <c r="E21" s="58" t="s">
        <v>23</v>
      </c>
      <c r="F21" s="60">
        <v>5672.08</v>
      </c>
      <c r="G21" s="60">
        <f>5306+165+45</f>
        <v>5516</v>
      </c>
      <c r="H21" s="60">
        <f t="shared" si="3"/>
        <v>77</v>
      </c>
      <c r="I21" s="60">
        <f t="shared" si="0"/>
        <v>79.079999999999927</v>
      </c>
      <c r="J21" s="61">
        <f>I21+J20</f>
        <v>-554.15999999999985</v>
      </c>
      <c r="K21" s="80" t="s">
        <v>85</v>
      </c>
      <c r="L21" s="62">
        <f t="shared" si="1"/>
        <v>0</v>
      </c>
      <c r="M21" s="63"/>
      <c r="N21" s="63"/>
      <c r="O21" s="69">
        <v>721.75300000000004</v>
      </c>
      <c r="P21" s="65">
        <f>O21*M3</f>
        <v>3457.1968700000002</v>
      </c>
      <c r="Q21" s="66">
        <f t="shared" si="6"/>
        <v>-721.75300000000004</v>
      </c>
      <c r="R21" s="66"/>
      <c r="S21" s="67">
        <f>Q21*M3</f>
        <v>-3457.1968700000002</v>
      </c>
    </row>
    <row r="22" spans="1:19" ht="31.5" hidden="1" customHeight="1" x14ac:dyDescent="0.25">
      <c r="A22" s="57">
        <v>45261</v>
      </c>
      <c r="B22" s="58">
        <v>3177.6</v>
      </c>
      <c r="C22" s="58">
        <v>988.7</v>
      </c>
      <c r="D22" s="59" t="s">
        <v>45</v>
      </c>
      <c r="E22" s="58" t="s">
        <v>23</v>
      </c>
      <c r="F22" s="60">
        <v>5541.6</v>
      </c>
      <c r="G22" s="60">
        <f>4937+173+62</f>
        <v>5172</v>
      </c>
      <c r="H22" s="60">
        <f t="shared" si="3"/>
        <v>77</v>
      </c>
      <c r="I22" s="60">
        <f t="shared" si="0"/>
        <v>292.60000000000036</v>
      </c>
      <c r="J22" s="61">
        <f>I22+J21</f>
        <v>-261.55999999999949</v>
      </c>
      <c r="K22" s="81" t="s">
        <v>86</v>
      </c>
      <c r="L22" s="62">
        <f t="shared" si="1"/>
        <v>0</v>
      </c>
      <c r="M22" s="63"/>
      <c r="N22" s="63"/>
      <c r="O22" s="69">
        <v>721.75300000000004</v>
      </c>
      <c r="P22" s="65">
        <f>O22*M3</f>
        <v>3457.1968700000002</v>
      </c>
      <c r="Q22" s="66">
        <f t="shared" si="6"/>
        <v>-721.75300000000004</v>
      </c>
      <c r="R22" s="66"/>
      <c r="S22" s="67">
        <f>Q22*M3</f>
        <v>-3457.1968700000002</v>
      </c>
    </row>
    <row r="23" spans="1:19" ht="31.5" hidden="1" customHeight="1" x14ac:dyDescent="0.25">
      <c r="L23" s="73">
        <f>SUM(L11:L22)</f>
        <v>3486.5999999999995</v>
      </c>
      <c r="O23" s="56">
        <f>SUM(O11:O22)</f>
        <v>8661.0359999999982</v>
      </c>
      <c r="P23" s="20">
        <f>SUM(P11:P22)</f>
        <v>41486.362440000004</v>
      </c>
      <c r="R23" s="56">
        <f>SUM(Q11:R22)</f>
        <v>-5174.4360000000015</v>
      </c>
      <c r="S23" s="20">
        <f>SUM(S11:S22)</f>
        <v>-24151.702110000002</v>
      </c>
    </row>
    <row r="24" spans="1:19" ht="31.5" hidden="1" customHeight="1" x14ac:dyDescent="0.25">
      <c r="L24" s="74">
        <f>L23*M3</f>
        <v>16700.813999999998</v>
      </c>
    </row>
    <row r="25" spans="1:19" ht="15.75" hidden="1" customHeight="1" x14ac:dyDescent="0.25">
      <c r="O25" s="73"/>
      <c r="P25" s="73"/>
    </row>
    <row r="26" spans="1:19" ht="15.75" hidden="1" customHeight="1" x14ac:dyDescent="0.25"/>
    <row r="27" spans="1:19" ht="31.5" hidden="1" customHeight="1" x14ac:dyDescent="0.25">
      <c r="A27" s="57">
        <v>45292</v>
      </c>
      <c r="B27" s="58">
        <v>3177.6</v>
      </c>
      <c r="C27" s="58">
        <v>988.7</v>
      </c>
      <c r="D27" s="59" t="s">
        <v>45</v>
      </c>
      <c r="E27" s="58" t="s">
        <v>23</v>
      </c>
      <c r="F27" s="60">
        <v>6878</v>
      </c>
      <c r="G27" s="60">
        <f>5182+268+93</f>
        <v>5543</v>
      </c>
      <c r="H27" s="60">
        <f t="shared" ref="H27:H32" si="7">34+28+15</f>
        <v>77</v>
      </c>
      <c r="I27" s="60">
        <f>F27-(G27+H27)</f>
        <v>1258</v>
      </c>
      <c r="J27" s="61">
        <f>I27-261</f>
        <v>997</v>
      </c>
      <c r="K27" s="81" t="s">
        <v>87</v>
      </c>
      <c r="L27" s="62">
        <v>997</v>
      </c>
      <c r="M27" s="63"/>
      <c r="N27" s="63"/>
      <c r="O27" s="69">
        <v>721.75300000000004</v>
      </c>
      <c r="P27" s="65">
        <f>O27*O2</f>
        <v>3457.1968700000002</v>
      </c>
      <c r="Q27" s="66"/>
      <c r="R27" s="66">
        <f>L27-O27</f>
        <v>275.24699999999996</v>
      </c>
      <c r="S27" s="67">
        <f>R27*O2</f>
        <v>1318.4331299999999</v>
      </c>
    </row>
    <row r="28" spans="1:19" ht="31.5" hidden="1" customHeight="1" x14ac:dyDescent="0.25">
      <c r="A28" s="57">
        <v>45323</v>
      </c>
      <c r="B28" s="58">
        <v>3177.6</v>
      </c>
      <c r="C28" s="58">
        <v>988.7</v>
      </c>
      <c r="D28" s="59" t="s">
        <v>45</v>
      </c>
      <c r="E28" s="58" t="s">
        <v>23</v>
      </c>
      <c r="F28" s="60">
        <f>5757</f>
        <v>5757</v>
      </c>
      <c r="G28" s="60">
        <f>5210+166+58</f>
        <v>5434</v>
      </c>
      <c r="H28" s="60">
        <f t="shared" si="7"/>
        <v>77</v>
      </c>
      <c r="I28" s="60">
        <f t="shared" ref="I28:I38" si="8">F28-(G28+H28)</f>
        <v>246</v>
      </c>
      <c r="J28" s="61">
        <f t="shared" ref="J28:J34" si="9">I28</f>
        <v>246</v>
      </c>
      <c r="K28" s="82" t="s">
        <v>88</v>
      </c>
      <c r="L28" s="62">
        <f>246</f>
        <v>246</v>
      </c>
      <c r="M28" s="63"/>
      <c r="N28" s="63"/>
      <c r="O28" s="69">
        <v>721.75300000000004</v>
      </c>
      <c r="P28" s="65">
        <f>O28*O2</f>
        <v>3457.1968700000002</v>
      </c>
      <c r="Q28" s="66">
        <f>L28-O28</f>
        <v>-475.75300000000004</v>
      </c>
      <c r="R28" s="66"/>
      <c r="S28" s="67">
        <f>Q28*O2</f>
        <v>-2278.8568700000001</v>
      </c>
    </row>
    <row r="29" spans="1:19" ht="31.5" hidden="1" customHeight="1" x14ac:dyDescent="0.25">
      <c r="A29" s="57">
        <v>45352</v>
      </c>
      <c r="B29" s="58">
        <v>3177.6</v>
      </c>
      <c r="C29" s="58">
        <v>988.7</v>
      </c>
      <c r="D29" s="59" t="s">
        <v>45</v>
      </c>
      <c r="E29" s="58" t="s">
        <v>23</v>
      </c>
      <c r="F29" s="60">
        <v>5360</v>
      </c>
      <c r="G29" s="60">
        <f>5569+143+50</f>
        <v>5762</v>
      </c>
      <c r="H29" s="60">
        <f t="shared" si="7"/>
        <v>77</v>
      </c>
      <c r="I29" s="60">
        <f>F29-(G29+H29)</f>
        <v>-479</v>
      </c>
      <c r="J29" s="61">
        <f t="shared" si="9"/>
        <v>-479</v>
      </c>
      <c r="K29" s="80" t="s">
        <v>89</v>
      </c>
      <c r="L29" s="62">
        <f>IF(J29&lt;0,0,I29)</f>
        <v>0</v>
      </c>
      <c r="M29" s="63"/>
      <c r="N29" s="63"/>
      <c r="O29" s="69">
        <v>721.75300000000004</v>
      </c>
      <c r="P29" s="65">
        <f>O29*O2</f>
        <v>3457.1968700000002</v>
      </c>
      <c r="Q29" s="66">
        <f t="shared" ref="Q29:Q38" si="10">L29-O29</f>
        <v>-721.75300000000004</v>
      </c>
      <c r="R29" s="66"/>
      <c r="S29" s="67">
        <f>R29*O2</f>
        <v>0</v>
      </c>
    </row>
    <row r="30" spans="1:19" ht="31.5" hidden="1" customHeight="1" x14ac:dyDescent="0.25">
      <c r="A30" s="57">
        <v>45383</v>
      </c>
      <c r="B30" s="58">
        <v>3177.6</v>
      </c>
      <c r="C30" s="58">
        <v>988.7</v>
      </c>
      <c r="D30" s="59" t="s">
        <v>45</v>
      </c>
      <c r="E30" s="58" t="s">
        <v>23</v>
      </c>
      <c r="F30" s="60">
        <v>6177</v>
      </c>
      <c r="G30" s="60">
        <f>5116+209+57</f>
        <v>5382</v>
      </c>
      <c r="H30" s="60">
        <f t="shared" si="7"/>
        <v>77</v>
      </c>
      <c r="I30" s="60">
        <f>F30-(G30+H30)</f>
        <v>718</v>
      </c>
      <c r="J30" s="61">
        <f t="shared" si="9"/>
        <v>718</v>
      </c>
      <c r="K30" s="80" t="s">
        <v>90</v>
      </c>
      <c r="L30" s="62">
        <f>J30</f>
        <v>718</v>
      </c>
      <c r="M30" s="63"/>
      <c r="N30" s="63"/>
      <c r="O30" s="69">
        <v>721.75300000000004</v>
      </c>
      <c r="P30" s="65">
        <f>O30*O2</f>
        <v>3457.1968700000002</v>
      </c>
      <c r="Q30" s="66">
        <f t="shared" si="10"/>
        <v>-3.7530000000000427</v>
      </c>
      <c r="R30" s="66"/>
      <c r="S30" s="67">
        <f>R30*O2</f>
        <v>0</v>
      </c>
    </row>
    <row r="31" spans="1:19" ht="31.5" hidden="1" customHeight="1" x14ac:dyDescent="0.25">
      <c r="A31" s="57">
        <v>45413</v>
      </c>
      <c r="B31" s="58">
        <v>3177.6</v>
      </c>
      <c r="C31" s="58">
        <v>988.7</v>
      </c>
      <c r="D31" s="59" t="s">
        <v>45</v>
      </c>
      <c r="E31" s="58" t="s">
        <v>23</v>
      </c>
      <c r="F31" s="60">
        <v>5390</v>
      </c>
      <c r="G31" s="60">
        <f>4157+294+103</f>
        <v>4554</v>
      </c>
      <c r="H31" s="60">
        <f t="shared" si="7"/>
        <v>77</v>
      </c>
      <c r="I31" s="60">
        <f>F31-(G31+H31)</f>
        <v>759</v>
      </c>
      <c r="J31" s="61">
        <f t="shared" si="9"/>
        <v>759</v>
      </c>
      <c r="K31" s="80" t="s">
        <v>91</v>
      </c>
      <c r="L31" s="62">
        <f t="shared" ref="L31:L38" si="11">IF(J31&lt;0,0,I31)</f>
        <v>759</v>
      </c>
      <c r="M31" s="63"/>
      <c r="N31" s="63"/>
      <c r="O31" s="69">
        <v>721.75300000000004</v>
      </c>
      <c r="P31" s="65">
        <f>O31*O2</f>
        <v>3457.1968700000002</v>
      </c>
      <c r="Q31" s="66"/>
      <c r="R31" s="66">
        <f>L31-O31</f>
        <v>37.246999999999957</v>
      </c>
      <c r="S31" s="67">
        <f>R31*O2</f>
        <v>178.4131299999998</v>
      </c>
    </row>
    <row r="32" spans="1:19" ht="31.5" hidden="1" customHeight="1" x14ac:dyDescent="0.25">
      <c r="A32" s="57">
        <v>45444</v>
      </c>
      <c r="B32" s="58">
        <v>3177.6</v>
      </c>
      <c r="C32" s="58">
        <v>988.7</v>
      </c>
      <c r="D32" s="59" t="s">
        <v>45</v>
      </c>
      <c r="E32" s="58" t="s">
        <v>23</v>
      </c>
      <c r="F32" s="60">
        <v>5812</v>
      </c>
      <c r="G32" s="60">
        <f>3585+223+46</f>
        <v>3854</v>
      </c>
      <c r="H32" s="60">
        <f t="shared" si="7"/>
        <v>77</v>
      </c>
      <c r="I32" s="60">
        <f>F32-(G32+H32)</f>
        <v>1881</v>
      </c>
      <c r="J32" s="61">
        <f t="shared" si="9"/>
        <v>1881</v>
      </c>
      <c r="K32" s="80" t="s">
        <v>92</v>
      </c>
      <c r="L32" s="62">
        <f t="shared" si="11"/>
        <v>1881</v>
      </c>
      <c r="M32" s="63"/>
      <c r="N32" s="63"/>
      <c r="O32" s="69">
        <v>721.75300000000004</v>
      </c>
      <c r="P32" s="65">
        <f>O32*O2</f>
        <v>3457.1968700000002</v>
      </c>
      <c r="Q32" s="66"/>
      <c r="R32" s="66">
        <f>L32-O32</f>
        <v>1159.2469999999998</v>
      </c>
      <c r="S32" s="67">
        <f>R32*O2</f>
        <v>5552.7931299999991</v>
      </c>
    </row>
    <row r="33" spans="1:19" ht="31.5" hidden="1" customHeight="1" x14ac:dyDescent="0.25">
      <c r="A33" s="57">
        <v>45474</v>
      </c>
      <c r="B33" s="58">
        <v>3177.6</v>
      </c>
      <c r="C33" s="58">
        <v>988.7</v>
      </c>
      <c r="D33" s="59" t="s">
        <v>45</v>
      </c>
      <c r="E33" s="58" t="s">
        <v>23</v>
      </c>
      <c r="F33" s="60">
        <v>5605</v>
      </c>
      <c r="G33" s="60">
        <f>4617+287+84</f>
        <v>4988</v>
      </c>
      <c r="H33" s="60">
        <f t="shared" ref="H33:H38" si="12">34+28+15</f>
        <v>77</v>
      </c>
      <c r="I33" s="60">
        <f t="shared" si="8"/>
        <v>540</v>
      </c>
      <c r="J33" s="61">
        <f t="shared" si="9"/>
        <v>540</v>
      </c>
      <c r="K33" s="80" t="s">
        <v>93</v>
      </c>
      <c r="L33" s="62">
        <f t="shared" si="11"/>
        <v>540</v>
      </c>
      <c r="M33" s="63"/>
      <c r="N33" s="63"/>
      <c r="O33" s="69">
        <v>721.75300000000004</v>
      </c>
      <c r="P33" s="65">
        <f>O33*O3</f>
        <v>3760.33313</v>
      </c>
      <c r="Q33" s="66">
        <f t="shared" si="10"/>
        <v>-181.75300000000004</v>
      </c>
      <c r="R33" s="66"/>
      <c r="S33" s="67">
        <f>R33*O3</f>
        <v>0</v>
      </c>
    </row>
    <row r="34" spans="1:19" ht="31.5" hidden="1" customHeight="1" x14ac:dyDescent="0.25">
      <c r="A34" s="57">
        <v>45505</v>
      </c>
      <c r="B34" s="58">
        <v>3177.6</v>
      </c>
      <c r="C34" s="58">
        <v>988.7</v>
      </c>
      <c r="D34" s="59" t="s">
        <v>45</v>
      </c>
      <c r="E34" s="58" t="s">
        <v>23</v>
      </c>
      <c r="F34" s="60">
        <v>5573</v>
      </c>
      <c r="G34" s="60">
        <f>4858+212+72</f>
        <v>5142</v>
      </c>
      <c r="H34" s="60">
        <f t="shared" si="12"/>
        <v>77</v>
      </c>
      <c r="I34" s="60">
        <f t="shared" si="8"/>
        <v>354</v>
      </c>
      <c r="J34" s="61">
        <f t="shared" si="9"/>
        <v>354</v>
      </c>
      <c r="K34" s="80" t="s">
        <v>94</v>
      </c>
      <c r="L34" s="62">
        <f t="shared" si="11"/>
        <v>354</v>
      </c>
      <c r="M34" s="63"/>
      <c r="N34" s="63"/>
      <c r="O34" s="69">
        <v>721.75300000000004</v>
      </c>
      <c r="P34" s="65">
        <f>O34*O3</f>
        <v>3760.33313</v>
      </c>
      <c r="Q34" s="66">
        <f t="shared" si="10"/>
        <v>-367.75300000000004</v>
      </c>
      <c r="R34" s="66"/>
      <c r="S34" s="67">
        <f>R34*O3</f>
        <v>0</v>
      </c>
    </row>
    <row r="35" spans="1:19" ht="31.5" hidden="1" customHeight="1" x14ac:dyDescent="0.25">
      <c r="A35" s="57">
        <v>45536</v>
      </c>
      <c r="B35" s="58">
        <v>3177.6</v>
      </c>
      <c r="C35" s="58">
        <v>988.7</v>
      </c>
      <c r="D35" s="59" t="s">
        <v>45</v>
      </c>
      <c r="E35" s="58" t="s">
        <v>23</v>
      </c>
      <c r="F35" s="60">
        <v>4836</v>
      </c>
      <c r="G35" s="60">
        <f>5413+160+125</f>
        <v>5698</v>
      </c>
      <c r="H35" s="60">
        <f t="shared" si="12"/>
        <v>77</v>
      </c>
      <c r="I35" s="60">
        <f t="shared" si="8"/>
        <v>-939</v>
      </c>
      <c r="J35" s="61">
        <f t="shared" ref="J35:J36" si="13">I35</f>
        <v>-939</v>
      </c>
      <c r="K35" s="80" t="s">
        <v>95</v>
      </c>
      <c r="L35" s="62">
        <f t="shared" si="11"/>
        <v>0</v>
      </c>
      <c r="M35" s="63"/>
      <c r="N35" s="63"/>
      <c r="O35" s="69">
        <v>721.75300000000004</v>
      </c>
      <c r="P35" s="65">
        <f>O35*O3</f>
        <v>3760.33313</v>
      </c>
      <c r="Q35" s="66">
        <f t="shared" si="10"/>
        <v>-721.75300000000004</v>
      </c>
      <c r="R35" s="66"/>
      <c r="S35" s="67">
        <f>R35*O3</f>
        <v>0</v>
      </c>
    </row>
    <row r="36" spans="1:19" ht="31.5" hidden="1" customHeight="1" x14ac:dyDescent="0.25">
      <c r="A36" s="57">
        <v>45566</v>
      </c>
      <c r="B36" s="58">
        <v>3177.6</v>
      </c>
      <c r="C36" s="58">
        <v>988.7</v>
      </c>
      <c r="D36" s="59" t="s">
        <v>45</v>
      </c>
      <c r="E36" s="58" t="s">
        <v>23</v>
      </c>
      <c r="F36" s="60">
        <v>6329</v>
      </c>
      <c r="G36" s="60">
        <f>4545+291+49</f>
        <v>4885</v>
      </c>
      <c r="H36" s="60">
        <f t="shared" si="12"/>
        <v>77</v>
      </c>
      <c r="I36" s="60">
        <f t="shared" si="8"/>
        <v>1367</v>
      </c>
      <c r="J36" s="61">
        <f t="shared" si="13"/>
        <v>1367</v>
      </c>
      <c r="K36" s="80" t="s">
        <v>96</v>
      </c>
      <c r="L36" s="62">
        <f t="shared" si="11"/>
        <v>1367</v>
      </c>
      <c r="M36" s="63"/>
      <c r="N36" s="63"/>
      <c r="O36" s="69">
        <v>721.75300000000004</v>
      </c>
      <c r="P36" s="65">
        <f>O36*O3</f>
        <v>3760.33313</v>
      </c>
      <c r="Q36" s="66"/>
      <c r="R36" s="66">
        <f>L36-O36</f>
        <v>645.24699999999996</v>
      </c>
      <c r="S36" s="67">
        <f>R36*O3</f>
        <v>3361.7368699999997</v>
      </c>
    </row>
    <row r="37" spans="1:19" ht="31.5" hidden="1" customHeight="1" x14ac:dyDescent="0.25">
      <c r="A37" s="57">
        <v>45597</v>
      </c>
      <c r="B37" s="58">
        <v>3177.6</v>
      </c>
      <c r="C37" s="58">
        <v>988.7</v>
      </c>
      <c r="D37" s="59" t="s">
        <v>45</v>
      </c>
      <c r="E37" s="58" t="s">
        <v>23</v>
      </c>
      <c r="F37" s="60">
        <v>5585</v>
      </c>
      <c r="G37" s="60">
        <f>4913+183+39</f>
        <v>5135</v>
      </c>
      <c r="H37" s="60">
        <f t="shared" si="12"/>
        <v>77</v>
      </c>
      <c r="I37" s="60">
        <f t="shared" si="8"/>
        <v>373</v>
      </c>
      <c r="J37" s="61">
        <f>I37</f>
        <v>373</v>
      </c>
      <c r="K37" s="80" t="s">
        <v>97</v>
      </c>
      <c r="L37" s="62">
        <f t="shared" si="11"/>
        <v>373</v>
      </c>
      <c r="M37" s="63"/>
      <c r="N37" s="63"/>
      <c r="O37" s="69">
        <v>721.75300000000004</v>
      </c>
      <c r="P37" s="65">
        <f>O37*O3</f>
        <v>3760.33313</v>
      </c>
      <c r="Q37" s="66">
        <f t="shared" si="10"/>
        <v>-348.75300000000004</v>
      </c>
      <c r="R37" s="66"/>
      <c r="S37" s="67">
        <f>R37*O3</f>
        <v>0</v>
      </c>
    </row>
    <row r="38" spans="1:19" ht="31.5" hidden="1" customHeight="1" x14ac:dyDescent="0.25">
      <c r="A38" s="57">
        <v>45627</v>
      </c>
      <c r="B38" s="58">
        <v>3177.6</v>
      </c>
      <c r="C38" s="58">
        <v>988.7</v>
      </c>
      <c r="D38" s="59" t="s">
        <v>45</v>
      </c>
      <c r="E38" s="58" t="s">
        <v>23</v>
      </c>
      <c r="F38" s="60">
        <v>5673</v>
      </c>
      <c r="G38" s="60">
        <f>5733+225+51</f>
        <v>6009</v>
      </c>
      <c r="H38" s="60">
        <f t="shared" si="12"/>
        <v>77</v>
      </c>
      <c r="I38" s="60">
        <f t="shared" si="8"/>
        <v>-413</v>
      </c>
      <c r="J38" s="61">
        <f>I38</f>
        <v>-413</v>
      </c>
      <c r="K38" s="81" t="s">
        <v>98</v>
      </c>
      <c r="L38" s="62">
        <f t="shared" si="11"/>
        <v>0</v>
      </c>
      <c r="M38" s="63"/>
      <c r="N38" s="63"/>
      <c r="O38" s="69">
        <v>721.75300000000004</v>
      </c>
      <c r="P38" s="65">
        <f>O38*O3</f>
        <v>3760.33313</v>
      </c>
      <c r="Q38" s="66">
        <f t="shared" si="10"/>
        <v>-721.75300000000004</v>
      </c>
      <c r="R38" s="66"/>
      <c r="S38" s="67">
        <f>R38*O3</f>
        <v>0</v>
      </c>
    </row>
    <row r="39" spans="1:19" ht="31.5" hidden="1" customHeight="1" x14ac:dyDescent="0.25">
      <c r="L39" s="73">
        <f>SUM(L27:L38)</f>
        <v>7235</v>
      </c>
      <c r="O39" s="56">
        <f>SUM(O27:O38)</f>
        <v>8661.0359999999982</v>
      </c>
      <c r="P39" s="87">
        <f>SUM(P27:P38)</f>
        <v>43305.18</v>
      </c>
      <c r="R39" s="56">
        <f>SUM(Q27:R32)</f>
        <v>270.48199999999963</v>
      </c>
      <c r="S39" s="20">
        <f>SUM(S27:S38)</f>
        <v>8132.5193899999986</v>
      </c>
    </row>
    <row r="40" spans="1:19" ht="31.5" hidden="1" customHeight="1" x14ac:dyDescent="0.25">
      <c r="L40" s="74">
        <f>L39*P19</f>
        <v>25012819.354450002</v>
      </c>
      <c r="R40" s="56">
        <f>SUM(Q33:R38)</f>
        <v>-1696.518</v>
      </c>
    </row>
    <row r="41" spans="1:19" hidden="1" x14ac:dyDescent="0.25"/>
    <row r="42" spans="1:19" ht="31.5" customHeight="1" x14ac:dyDescent="0.25">
      <c r="A42" s="57">
        <v>45658</v>
      </c>
      <c r="B42" s="58">
        <v>3177.6</v>
      </c>
      <c r="C42" s="58">
        <v>988.7</v>
      </c>
      <c r="D42" s="59" t="s">
        <v>45</v>
      </c>
      <c r="E42" s="58" t="s">
        <v>23</v>
      </c>
      <c r="F42" s="60">
        <v>5704</v>
      </c>
      <c r="G42" s="60">
        <f>5895+202+73</f>
        <v>6170</v>
      </c>
      <c r="H42" s="60">
        <f t="shared" ref="H42:H53" si="14">34+28+15</f>
        <v>77</v>
      </c>
      <c r="I42" s="60">
        <f>F42-(G42+H42)</f>
        <v>-543</v>
      </c>
      <c r="J42" s="61">
        <f>I42</f>
        <v>-543</v>
      </c>
      <c r="K42" s="93" t="s">
        <v>103</v>
      </c>
      <c r="L42" s="62">
        <v>0</v>
      </c>
      <c r="M42" s="63"/>
      <c r="N42" s="63"/>
      <c r="O42" s="69">
        <v>721.75300000000004</v>
      </c>
      <c r="P42" s="65">
        <f>O42*R2</f>
        <v>3760.33313</v>
      </c>
      <c r="Q42" s="66">
        <f>L42-O42</f>
        <v>-721.75300000000004</v>
      </c>
      <c r="R42" s="66"/>
      <c r="S42" s="92">
        <f>Q42*R2</f>
        <v>-3760.33313</v>
      </c>
    </row>
    <row r="43" spans="1:19" ht="31.5" customHeight="1" x14ac:dyDescent="0.25">
      <c r="A43" s="57">
        <v>45689</v>
      </c>
      <c r="B43" s="58">
        <v>3177.6</v>
      </c>
      <c r="C43" s="58">
        <v>988.7</v>
      </c>
      <c r="D43" s="59" t="s">
        <v>45</v>
      </c>
      <c r="E43" s="58" t="s">
        <v>23</v>
      </c>
      <c r="F43" s="60">
        <v>6268</v>
      </c>
      <c r="G43" s="60">
        <f>4328+209+78</f>
        <v>4615</v>
      </c>
      <c r="H43" s="60">
        <f t="shared" si="14"/>
        <v>77</v>
      </c>
      <c r="I43" s="60">
        <f t="shared" ref="I43" si="15">F43-(G43+H43)</f>
        <v>1576</v>
      </c>
      <c r="J43" s="61">
        <f t="shared" ref="J43:J51" si="16">I43</f>
        <v>1576</v>
      </c>
      <c r="K43" s="93" t="s">
        <v>104</v>
      </c>
      <c r="L43" s="62">
        <f>J43-956</f>
        <v>620</v>
      </c>
      <c r="M43" s="63"/>
      <c r="N43" s="63"/>
      <c r="O43" s="69">
        <v>721.75300000000004</v>
      </c>
      <c r="P43" s="65">
        <f>O43*R2</f>
        <v>3760.33313</v>
      </c>
      <c r="Q43" s="66">
        <f>L43-O43</f>
        <v>-101.75300000000004</v>
      </c>
      <c r="R43" s="66"/>
      <c r="S43" s="92">
        <f>Q43*R2</f>
        <v>-530.13313000000016</v>
      </c>
    </row>
    <row r="44" spans="1:19" ht="31.5" customHeight="1" x14ac:dyDescent="0.25">
      <c r="A44" s="57">
        <v>45717</v>
      </c>
      <c r="B44" s="58">
        <v>3177.6</v>
      </c>
      <c r="C44" s="58">
        <v>988.7</v>
      </c>
      <c r="D44" s="59" t="s">
        <v>45</v>
      </c>
      <c r="E44" s="58" t="s">
        <v>23</v>
      </c>
      <c r="F44" s="60">
        <v>4994</v>
      </c>
      <c r="G44" s="60">
        <f>4591+129+62</f>
        <v>4782</v>
      </c>
      <c r="H44" s="60">
        <f t="shared" si="14"/>
        <v>77</v>
      </c>
      <c r="I44" s="60">
        <f>F44-(G44+H44)</f>
        <v>135</v>
      </c>
      <c r="J44" s="61">
        <f t="shared" si="16"/>
        <v>135</v>
      </c>
      <c r="K44" s="93" t="s">
        <v>105</v>
      </c>
      <c r="L44" s="62">
        <f>IF(J44&lt;0,0,I44)</f>
        <v>135</v>
      </c>
      <c r="M44" s="63"/>
      <c r="N44" s="63"/>
      <c r="O44" s="69">
        <v>721.75300000000004</v>
      </c>
      <c r="P44" s="65">
        <f>O44*R2</f>
        <v>3760.33313</v>
      </c>
      <c r="Q44" s="66">
        <f t="shared" ref="Q44:Q45" si="17">L44-O44</f>
        <v>-586.75300000000004</v>
      </c>
      <c r="R44" s="66"/>
      <c r="S44" s="92">
        <f>Q44*R2</f>
        <v>-3056.9831300000001</v>
      </c>
    </row>
    <row r="45" spans="1:19" ht="31.5" customHeight="1" x14ac:dyDescent="0.25">
      <c r="A45" s="57">
        <v>45748</v>
      </c>
      <c r="B45" s="58">
        <v>3177.6</v>
      </c>
      <c r="C45" s="58">
        <v>988.7</v>
      </c>
      <c r="D45" s="59" t="s">
        <v>45</v>
      </c>
      <c r="E45" s="58" t="s">
        <v>23</v>
      </c>
      <c r="F45" s="60">
        <v>5195</v>
      </c>
      <c r="G45" s="60">
        <f>4566+156+69</f>
        <v>4791</v>
      </c>
      <c r="H45" s="60">
        <f t="shared" si="14"/>
        <v>77</v>
      </c>
      <c r="I45" s="60">
        <f>F45-(G45+H45)</f>
        <v>327</v>
      </c>
      <c r="J45" s="61">
        <f t="shared" si="16"/>
        <v>327</v>
      </c>
      <c r="K45" s="93" t="s">
        <v>106</v>
      </c>
      <c r="L45" s="62">
        <f>J45</f>
        <v>327</v>
      </c>
      <c r="M45" s="63"/>
      <c r="N45" s="63"/>
      <c r="O45" s="69">
        <v>721.75300000000004</v>
      </c>
      <c r="P45" s="65">
        <f>O45*R2</f>
        <v>3760.33313</v>
      </c>
      <c r="Q45" s="66">
        <f t="shared" si="17"/>
        <v>-394.75300000000004</v>
      </c>
      <c r="R45" s="66"/>
      <c r="S45" s="92">
        <f>Q45*R2</f>
        <v>-2056.6631300000004</v>
      </c>
    </row>
    <row r="46" spans="1:19" ht="31.5" customHeight="1" x14ac:dyDescent="0.25">
      <c r="A46" s="57">
        <v>45778</v>
      </c>
      <c r="B46" s="58">
        <v>3177.6</v>
      </c>
      <c r="C46" s="58">
        <v>988.7</v>
      </c>
      <c r="D46" s="59" t="s">
        <v>45</v>
      </c>
      <c r="E46" s="58" t="s">
        <v>23</v>
      </c>
      <c r="F46" s="60">
        <f>5318</f>
        <v>5318</v>
      </c>
      <c r="G46" s="60">
        <f>5232+178+65</f>
        <v>5475</v>
      </c>
      <c r="H46" s="60">
        <f t="shared" si="14"/>
        <v>77</v>
      </c>
      <c r="I46" s="60">
        <f>F46-(G46+H46)</f>
        <v>-234</v>
      </c>
      <c r="J46" s="61">
        <f t="shared" si="16"/>
        <v>-234</v>
      </c>
      <c r="K46" s="93" t="s">
        <v>107</v>
      </c>
      <c r="L46" s="62">
        <f t="shared" ref="L46:L53" si="18">IF(J46&lt;0,0,I46)</f>
        <v>0</v>
      </c>
      <c r="M46" s="63"/>
      <c r="N46" s="63"/>
      <c r="O46" s="69">
        <v>721.75300000000004</v>
      </c>
      <c r="P46" s="65">
        <f>O46*R2</f>
        <v>3760.33313</v>
      </c>
      <c r="Q46" s="66">
        <f>L46-O46</f>
        <v>-721.75300000000004</v>
      </c>
      <c r="R46" s="66"/>
      <c r="S46" s="92">
        <f>Q46*R2</f>
        <v>-3760.33313</v>
      </c>
    </row>
    <row r="47" spans="1:19" ht="31.5" customHeight="1" x14ac:dyDescent="0.25">
      <c r="A47" s="57">
        <v>45809</v>
      </c>
      <c r="B47" s="58">
        <v>3177.6</v>
      </c>
      <c r="C47" s="58">
        <v>988.7</v>
      </c>
      <c r="D47" s="59" t="s">
        <v>45</v>
      </c>
      <c r="E47" s="58" t="s">
        <v>23</v>
      </c>
      <c r="F47" s="60">
        <v>5621</v>
      </c>
      <c r="G47" s="60">
        <f>4636+197+67</f>
        <v>4900</v>
      </c>
      <c r="H47" s="60">
        <f t="shared" si="14"/>
        <v>77</v>
      </c>
      <c r="I47" s="60">
        <f>F47-(G47+H47)</f>
        <v>644</v>
      </c>
      <c r="J47" s="61">
        <f>I47+J46</f>
        <v>410</v>
      </c>
      <c r="K47" s="93" t="s">
        <v>108</v>
      </c>
      <c r="L47" s="62">
        <f>I47+J46</f>
        <v>410</v>
      </c>
      <c r="M47" s="63"/>
      <c r="N47" s="63"/>
      <c r="O47" s="69">
        <v>721.75300000000004</v>
      </c>
      <c r="P47" s="65">
        <f>O47*R2</f>
        <v>3760.33313</v>
      </c>
      <c r="Q47" s="66">
        <f>L47-O47</f>
        <v>-311.75300000000004</v>
      </c>
      <c r="R47" s="66"/>
      <c r="S47" s="92">
        <f>Q47*R2</f>
        <v>-1624.2331300000003</v>
      </c>
    </row>
    <row r="48" spans="1:19" ht="31.5" customHeight="1" x14ac:dyDescent="0.25">
      <c r="A48" s="57">
        <v>45839</v>
      </c>
      <c r="B48" s="58">
        <v>3177.6</v>
      </c>
      <c r="C48" s="58">
        <v>988.7</v>
      </c>
      <c r="D48" s="59" t="s">
        <v>45</v>
      </c>
      <c r="E48" s="58" t="s">
        <v>23</v>
      </c>
      <c r="F48" s="60">
        <f>5229</f>
        <v>5229</v>
      </c>
      <c r="G48" s="60">
        <f>3698+226+94</f>
        <v>4018</v>
      </c>
      <c r="H48" s="60">
        <f t="shared" si="14"/>
        <v>77</v>
      </c>
      <c r="I48" s="60">
        <f t="shared" ref="I48:I53" si="19">F48-(G48+H48)</f>
        <v>1134</v>
      </c>
      <c r="J48" s="61">
        <f t="shared" si="16"/>
        <v>1134</v>
      </c>
      <c r="K48" s="93" t="s">
        <v>109</v>
      </c>
      <c r="L48" s="62">
        <f t="shared" si="18"/>
        <v>1134</v>
      </c>
      <c r="M48" s="63"/>
      <c r="N48" s="63"/>
      <c r="O48" s="69">
        <v>721.75300000000004</v>
      </c>
      <c r="P48" s="65">
        <f>O48*R3</f>
        <v>4229.4725800000006</v>
      </c>
      <c r="Q48" s="66"/>
      <c r="R48" s="66">
        <f t="shared" ref="R48:R53" si="20">L48-O48</f>
        <v>412.24699999999996</v>
      </c>
      <c r="S48" s="92">
        <f>R48*R3</f>
        <v>2415.7674199999997</v>
      </c>
    </row>
    <row r="49" spans="1:19" ht="31.5" customHeight="1" x14ac:dyDescent="0.25">
      <c r="A49" s="57">
        <v>45870</v>
      </c>
      <c r="B49" s="58">
        <v>3177.6</v>
      </c>
      <c r="C49" s="58">
        <v>988.7</v>
      </c>
      <c r="D49" s="59" t="s">
        <v>45</v>
      </c>
      <c r="E49" s="58" t="s">
        <v>23</v>
      </c>
      <c r="F49" s="60">
        <v>6069</v>
      </c>
      <c r="G49" s="60">
        <f>4889+282+78</f>
        <v>5249</v>
      </c>
      <c r="H49" s="60">
        <f t="shared" si="14"/>
        <v>77</v>
      </c>
      <c r="I49" s="60">
        <f t="shared" si="19"/>
        <v>743</v>
      </c>
      <c r="J49" s="61">
        <f t="shared" si="16"/>
        <v>743</v>
      </c>
      <c r="K49" s="93" t="s">
        <v>113</v>
      </c>
      <c r="L49" s="62">
        <f t="shared" si="18"/>
        <v>743</v>
      </c>
      <c r="M49" s="63"/>
      <c r="N49" s="63"/>
      <c r="O49" s="69">
        <v>721.75300000000004</v>
      </c>
      <c r="P49" s="65">
        <f>O49*R3</f>
        <v>4229.4725800000006</v>
      </c>
      <c r="Q49" s="66"/>
      <c r="R49" s="66">
        <f t="shared" si="20"/>
        <v>21.246999999999957</v>
      </c>
      <c r="S49" s="92">
        <f>R49*R3</f>
        <v>124.50741999999975</v>
      </c>
    </row>
    <row r="50" spans="1:19" ht="31.5" customHeight="1" x14ac:dyDescent="0.25">
      <c r="A50" s="57">
        <v>45901</v>
      </c>
      <c r="B50" s="58">
        <v>3177.6</v>
      </c>
      <c r="C50" s="58">
        <v>988.7</v>
      </c>
      <c r="D50" s="59" t="s">
        <v>45</v>
      </c>
      <c r="E50" s="58" t="s">
        <v>23</v>
      </c>
      <c r="F50" s="60">
        <v>6666</v>
      </c>
      <c r="G50" s="60">
        <f>5352+240+91</f>
        <v>5683</v>
      </c>
      <c r="H50" s="60">
        <f t="shared" si="14"/>
        <v>77</v>
      </c>
      <c r="I50" s="60">
        <f t="shared" si="19"/>
        <v>906</v>
      </c>
      <c r="J50" s="61">
        <f t="shared" si="16"/>
        <v>906</v>
      </c>
      <c r="K50" s="93" t="s">
        <v>110</v>
      </c>
      <c r="L50" s="62">
        <f t="shared" si="18"/>
        <v>906</v>
      </c>
      <c r="M50" s="63"/>
      <c r="N50" s="63"/>
      <c r="O50" s="69">
        <v>721.75300000000004</v>
      </c>
      <c r="P50" s="65">
        <f>O50*R3</f>
        <v>4229.4725800000006</v>
      </c>
      <c r="Q50" s="66"/>
      <c r="R50" s="66">
        <f t="shared" si="20"/>
        <v>184.24699999999996</v>
      </c>
      <c r="S50" s="92">
        <f>R50*R3</f>
        <v>1079.6874199999997</v>
      </c>
    </row>
    <row r="51" spans="1:19" ht="31.5" customHeight="1" x14ac:dyDescent="0.25">
      <c r="A51" s="57">
        <v>45931</v>
      </c>
      <c r="B51" s="58">
        <v>3177.6</v>
      </c>
      <c r="C51" s="58">
        <v>988.7</v>
      </c>
      <c r="D51" s="59" t="s">
        <v>45</v>
      </c>
      <c r="E51" s="58" t="s">
        <v>23</v>
      </c>
      <c r="F51" s="60">
        <v>7510</v>
      </c>
      <c r="G51" s="60">
        <f>4509+330+106</f>
        <v>4945</v>
      </c>
      <c r="H51" s="60">
        <f t="shared" si="14"/>
        <v>77</v>
      </c>
      <c r="I51" s="60">
        <f t="shared" si="19"/>
        <v>2488</v>
      </c>
      <c r="J51" s="61">
        <f t="shared" si="16"/>
        <v>2488</v>
      </c>
      <c r="K51" s="93" t="s">
        <v>111</v>
      </c>
      <c r="L51" s="62">
        <f t="shared" si="18"/>
        <v>2488</v>
      </c>
      <c r="M51" s="63"/>
      <c r="N51" s="63"/>
      <c r="O51" s="69">
        <v>721.75300000000004</v>
      </c>
      <c r="P51" s="65">
        <f>O51*R3</f>
        <v>4229.4725800000006</v>
      </c>
      <c r="Q51" s="66"/>
      <c r="R51" s="66">
        <f t="shared" si="20"/>
        <v>1766.2469999999998</v>
      </c>
      <c r="S51" s="92">
        <f>R51*R3</f>
        <v>10350.207419999999</v>
      </c>
    </row>
    <row r="52" spans="1:19" ht="31.5" customHeight="1" x14ac:dyDescent="0.25">
      <c r="A52" s="57">
        <v>45962</v>
      </c>
      <c r="B52" s="58">
        <v>3177.6</v>
      </c>
      <c r="C52" s="58">
        <v>988.7</v>
      </c>
      <c r="D52" s="59" t="s">
        <v>45</v>
      </c>
      <c r="E52" s="58" t="s">
        <v>23</v>
      </c>
      <c r="F52" s="60">
        <v>6975</v>
      </c>
      <c r="G52" s="60">
        <f>5507+213+69</f>
        <v>5789</v>
      </c>
      <c r="H52" s="60">
        <f t="shared" si="14"/>
        <v>77</v>
      </c>
      <c r="I52" s="60">
        <f t="shared" si="19"/>
        <v>1109</v>
      </c>
      <c r="J52" s="61">
        <f>I52</f>
        <v>1109</v>
      </c>
      <c r="K52" s="93" t="s">
        <v>114</v>
      </c>
      <c r="L52" s="62">
        <f t="shared" si="18"/>
        <v>1109</v>
      </c>
      <c r="M52" s="63"/>
      <c r="N52" s="63"/>
      <c r="O52" s="69">
        <v>721.75300000000004</v>
      </c>
      <c r="P52" s="65">
        <f>O52*R3</f>
        <v>4229.4725800000006</v>
      </c>
      <c r="Q52" s="66"/>
      <c r="R52" s="66">
        <f t="shared" si="20"/>
        <v>387.24699999999996</v>
      </c>
      <c r="S52" s="92">
        <f>R52*R3</f>
        <v>2269.2674199999997</v>
      </c>
    </row>
    <row r="53" spans="1:19" ht="31.5" customHeight="1" x14ac:dyDescent="0.25">
      <c r="A53" s="57">
        <v>45992</v>
      </c>
      <c r="B53" s="58">
        <v>3177.6</v>
      </c>
      <c r="C53" s="58">
        <v>988.7</v>
      </c>
      <c r="D53" s="59" t="s">
        <v>45</v>
      </c>
      <c r="E53" s="58" t="s">
        <v>23</v>
      </c>
      <c r="F53" s="60">
        <v>6068</v>
      </c>
      <c r="G53" s="60">
        <f>160+276+80</f>
        <v>516</v>
      </c>
      <c r="H53" s="60">
        <f t="shared" si="14"/>
        <v>77</v>
      </c>
      <c r="I53" s="60">
        <f t="shared" si="19"/>
        <v>5475</v>
      </c>
      <c r="J53" s="61">
        <f>I53</f>
        <v>5475</v>
      </c>
      <c r="K53" s="81" t="s">
        <v>112</v>
      </c>
      <c r="L53" s="62">
        <f t="shared" si="18"/>
        <v>5475</v>
      </c>
      <c r="M53" s="63"/>
      <c r="N53" s="63"/>
      <c r="O53" s="69">
        <v>721.75300000000004</v>
      </c>
      <c r="P53" s="65">
        <f>O53*R3</f>
        <v>4229.4725800000006</v>
      </c>
      <c r="Q53" s="66"/>
      <c r="R53" s="66">
        <f t="shared" si="20"/>
        <v>4753.2470000000003</v>
      </c>
      <c r="S53" s="92">
        <f>R53*R3</f>
        <v>27854.027420000002</v>
      </c>
    </row>
    <row r="54" spans="1:19" ht="31.5" customHeight="1" x14ac:dyDescent="0.25">
      <c r="A54" s="94"/>
      <c r="L54" s="73">
        <f>SUM(L42:L53)</f>
        <v>13347</v>
      </c>
      <c r="O54" s="56">
        <f>SUM(O42:O53)</f>
        <v>8661.0359999999982</v>
      </c>
      <c r="P54" s="87">
        <f>SUM(P42:P53)</f>
        <v>47938.834260000003</v>
      </c>
      <c r="Q54" s="95" t="s">
        <v>116</v>
      </c>
      <c r="R54" s="95">
        <f>SUM(Q42:R47)</f>
        <v>-2838.5180000000005</v>
      </c>
      <c r="S54" s="96">
        <f>SUM(S42:S47)</f>
        <v>-14788.678780000002</v>
      </c>
    </row>
    <row r="55" spans="1:19" ht="31.5" customHeight="1" x14ac:dyDescent="0.25">
      <c r="A55" s="94"/>
      <c r="L55" s="74"/>
      <c r="Q55" s="97" t="s">
        <v>117</v>
      </c>
      <c r="R55" s="95">
        <f>SUM(Q48:R53)</f>
        <v>7524.482</v>
      </c>
      <c r="S55" s="96">
        <f>SUM(S48:S53)</f>
        <v>44093.464520000001</v>
      </c>
    </row>
    <row r="56" spans="1:19" x14ac:dyDescent="0.25">
      <c r="K56" s="90"/>
      <c r="Q56" s="97"/>
      <c r="R56" s="97"/>
      <c r="S56" s="97"/>
    </row>
    <row r="57" spans="1:19" x14ac:dyDescent="0.25">
      <c r="K57" s="90"/>
      <c r="Q57" s="97"/>
      <c r="R57" s="95">
        <f>R54+R55</f>
        <v>4685.9639999999999</v>
      </c>
      <c r="S57" s="96">
        <f>S54+S55</f>
        <v>29304.785739999999</v>
      </c>
    </row>
    <row r="58" spans="1:19" x14ac:dyDescent="0.25">
      <c r="K58" s="90"/>
    </row>
    <row r="59" spans="1:19" x14ac:dyDescent="0.25">
      <c r="K59" s="90"/>
      <c r="S59">
        <v>0</v>
      </c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8" x14ac:dyDescent="0.25">
      <c r="K65" s="90"/>
    </row>
    <row r="66" spans="11:18" x14ac:dyDescent="0.25">
      <c r="K66" s="90"/>
    </row>
    <row r="67" spans="11:18" x14ac:dyDescent="0.25">
      <c r="R67">
        <f>SUM(Q43:R54)</f>
        <v>2569.1989999999992</v>
      </c>
    </row>
    <row r="68" spans="11:18" x14ac:dyDescent="0.25">
      <c r="R68">
        <f>SUM(Q55:R66)</f>
        <v>12210.446</v>
      </c>
    </row>
    <row r="94" spans="17:19" x14ac:dyDescent="0.25">
      <c r="Q94" s="97" t="s">
        <v>116</v>
      </c>
      <c r="R94" s="97"/>
      <c r="S94" s="97">
        <f>SUM(S70:S81)</f>
        <v>0</v>
      </c>
    </row>
    <row r="95" spans="17:19" x14ac:dyDescent="0.25">
      <c r="Q95" s="97" t="s">
        <v>117</v>
      </c>
      <c r="R95" s="97"/>
      <c r="S95" s="97">
        <f>SUM(S82:S93)</f>
        <v>0</v>
      </c>
    </row>
    <row r="96" spans="17:19" x14ac:dyDescent="0.25">
      <c r="Q96" s="97"/>
      <c r="R96" s="97"/>
      <c r="S96" s="97"/>
    </row>
    <row r="97" spans="17:19" x14ac:dyDescent="0.25">
      <c r="Q97" s="97"/>
      <c r="R97" s="97"/>
      <c r="S97" s="97">
        <f>S94+S95</f>
        <v>0</v>
      </c>
    </row>
  </sheetData>
  <sheetProtection algorithmName="SHA-512" hashValue="MaRONxoK4xAzN//ne7RI/Prbrz9WcWFsz6I4joqNNeApcwuXgAGdpnOEsSVzwZa6aN7hmRKB7IfG+RiHDugBrg==" saltValue="nQZNqyix8h/TI94Ex8eUlw==" spinCount="100000" sheet="1" objects="1" scenarios="1" selectLockedCells="1" selectUnlockedCells="1"/>
  <mergeCells count="23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P2:P3"/>
    <mergeCell ref="S4:S5"/>
    <mergeCell ref="M4:M5"/>
    <mergeCell ref="G2:K2"/>
    <mergeCell ref="G3:K3"/>
    <mergeCell ref="J4:J5"/>
    <mergeCell ref="N4:N5"/>
    <mergeCell ref="S2:S3"/>
  </mergeCells>
  <pageMargins left="0.25" right="0.25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zoomScale="78" zoomScaleNormal="78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54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1929.3</v>
      </c>
      <c r="C7" s="10">
        <v>387.9</v>
      </c>
      <c r="D7" s="19" t="s">
        <v>55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279</v>
      </c>
      <c r="M7" s="10"/>
      <c r="N7" s="10"/>
      <c r="O7" s="53">
        <v>279.286</v>
      </c>
      <c r="P7" s="26">
        <f>O7*M2</f>
        <v>1228.8584000000001</v>
      </c>
      <c r="Q7" s="10"/>
      <c r="R7" s="10"/>
      <c r="S7" s="16">
        <v>0</v>
      </c>
    </row>
    <row r="8" spans="1:19" ht="39.75" hidden="1" customHeight="1" x14ac:dyDescent="0.25">
      <c r="A8" s="18">
        <v>44835</v>
      </c>
      <c r="B8" s="10">
        <v>1929.3</v>
      </c>
      <c r="C8" s="10">
        <v>387.9</v>
      </c>
      <c r="D8" s="19" t="s">
        <v>55</v>
      </c>
      <c r="E8" s="10" t="s">
        <v>23</v>
      </c>
      <c r="F8" s="11">
        <v>3833</v>
      </c>
      <c r="G8" s="11">
        <f>3652</f>
        <v>3652</v>
      </c>
      <c r="H8" s="11">
        <f>709+16+15</f>
        <v>740</v>
      </c>
      <c r="I8" s="11">
        <f>F8-(G8+H8)</f>
        <v>-559</v>
      </c>
      <c r="J8" s="24">
        <f>I8</f>
        <v>-559</v>
      </c>
      <c r="K8" s="27" t="s">
        <v>64</v>
      </c>
      <c r="L8" s="34">
        <v>0</v>
      </c>
      <c r="M8" s="29">
        <f>L8*(1/B8)</f>
        <v>0</v>
      </c>
      <c r="N8" s="29">
        <f>M8*M2</f>
        <v>0</v>
      </c>
      <c r="O8" s="53">
        <v>279.286</v>
      </c>
      <c r="P8" s="26">
        <f>O8*M2</f>
        <v>1228.8584000000001</v>
      </c>
      <c r="Q8" s="47">
        <v>279.286</v>
      </c>
      <c r="R8" s="28"/>
      <c r="S8" s="16">
        <f>-Q8*M2</f>
        <v>-1228.8584000000001</v>
      </c>
    </row>
    <row r="9" spans="1:19" ht="39.75" hidden="1" customHeight="1" x14ac:dyDescent="0.25">
      <c r="A9" s="18">
        <v>44866</v>
      </c>
      <c r="B9" s="10">
        <v>1929.3</v>
      </c>
      <c r="C9" s="10">
        <v>387.9</v>
      </c>
      <c r="D9" s="19" t="s">
        <v>55</v>
      </c>
      <c r="E9" s="10" t="s">
        <v>23</v>
      </c>
      <c r="F9" s="7">
        <v>4142.5600000000004</v>
      </c>
      <c r="G9" s="4">
        <f>2519+270+76</f>
        <v>2865</v>
      </c>
      <c r="H9" s="4">
        <f>634+16+15</f>
        <v>665</v>
      </c>
      <c r="I9" s="11">
        <f t="shared" ref="I9" si="0">F9-(G9+H9)</f>
        <v>612.5600000000004</v>
      </c>
      <c r="J9" s="24">
        <v>54</v>
      </c>
      <c r="K9" s="27" t="s">
        <v>66</v>
      </c>
      <c r="L9" s="34">
        <v>54</v>
      </c>
      <c r="M9" s="29">
        <f t="shared" ref="M9:M10" si="1">L9*(1/B9)</f>
        <v>2.7989426216762554E-2</v>
      </c>
      <c r="N9" s="29">
        <f>M9*M2</f>
        <v>0.12315347535375525</v>
      </c>
      <c r="O9" s="53">
        <v>279.286</v>
      </c>
      <c r="P9" s="31">
        <f>O9*M2</f>
        <v>1228.8584000000001</v>
      </c>
      <c r="Q9" s="47">
        <v>225.286</v>
      </c>
      <c r="R9" s="30"/>
      <c r="S9" s="16">
        <f>-Q9*M2</f>
        <v>-991.25840000000005</v>
      </c>
    </row>
    <row r="10" spans="1:19" ht="39.75" hidden="1" customHeight="1" x14ac:dyDescent="0.25">
      <c r="A10" s="18">
        <v>44896</v>
      </c>
      <c r="B10" s="4">
        <v>1929.3</v>
      </c>
      <c r="C10" s="4">
        <v>387.9</v>
      </c>
      <c r="D10" s="19" t="s">
        <v>55</v>
      </c>
      <c r="E10" s="4" t="s">
        <v>23</v>
      </c>
      <c r="F10" s="4">
        <v>3908</v>
      </c>
      <c r="G10" s="4">
        <f>4899+152+55</f>
        <v>5106</v>
      </c>
      <c r="H10" s="4">
        <f>639+16+15</f>
        <v>670</v>
      </c>
      <c r="I10" s="6">
        <f>F10-(G10+H10)</f>
        <v>-1868</v>
      </c>
      <c r="J10" s="24">
        <f>I10</f>
        <v>-1868</v>
      </c>
      <c r="K10" s="27" t="s">
        <v>67</v>
      </c>
      <c r="L10" s="34">
        <v>0</v>
      </c>
      <c r="M10" s="29">
        <f t="shared" si="1"/>
        <v>0</v>
      </c>
      <c r="N10" s="29">
        <f>M10*M2</f>
        <v>0</v>
      </c>
      <c r="O10" s="55">
        <v>279.286</v>
      </c>
      <c r="P10" s="31">
        <f>O10*M2</f>
        <v>1228.8584000000001</v>
      </c>
      <c r="Q10" s="47">
        <f>O10</f>
        <v>279.286</v>
      </c>
      <c r="R10" s="30"/>
      <c r="S10" s="16">
        <f>-Q10*M3</f>
        <v>-1337.7799400000001</v>
      </c>
    </row>
    <row r="11" spans="1:19" ht="31.5" hidden="1" customHeight="1" x14ac:dyDescent="0.25">
      <c r="A11" s="57">
        <v>44927</v>
      </c>
      <c r="B11" s="58">
        <v>1929.3</v>
      </c>
      <c r="C11" s="58">
        <v>387.9</v>
      </c>
      <c r="D11" s="59" t="s">
        <v>55</v>
      </c>
      <c r="E11" s="58" t="s">
        <v>23</v>
      </c>
      <c r="F11" s="60">
        <v>4205.84</v>
      </c>
      <c r="G11" s="60">
        <f>834+93+68</f>
        <v>995</v>
      </c>
      <c r="H11" s="60">
        <f>632+16+15</f>
        <v>663</v>
      </c>
      <c r="I11" s="60">
        <f t="shared" ref="I11:I22" si="2">F11-(G11+H11)</f>
        <v>2547.84</v>
      </c>
      <c r="J11" s="61">
        <f>I11-1868</f>
        <v>679.84000000000015</v>
      </c>
      <c r="K11" s="80" t="s">
        <v>76</v>
      </c>
      <c r="L11" s="62">
        <f>J11</f>
        <v>679.84000000000015</v>
      </c>
      <c r="M11" s="63"/>
      <c r="N11" s="63"/>
      <c r="O11" s="69">
        <v>279.286</v>
      </c>
      <c r="P11" s="65">
        <f>O11*M3</f>
        <v>1337.7799400000001</v>
      </c>
      <c r="Q11" s="66"/>
      <c r="R11" s="66">
        <f>L11-O11</f>
        <v>400.55400000000014</v>
      </c>
      <c r="S11" s="67">
        <f>R11*M3</f>
        <v>1918.6536600000006</v>
      </c>
    </row>
    <row r="12" spans="1:19" ht="31.5" hidden="1" customHeight="1" x14ac:dyDescent="0.25">
      <c r="A12" s="57">
        <v>44958</v>
      </c>
      <c r="B12" s="58">
        <v>1929.3</v>
      </c>
      <c r="C12" s="58">
        <v>387.9</v>
      </c>
      <c r="D12" s="59" t="s">
        <v>55</v>
      </c>
      <c r="E12" s="58" t="s">
        <v>23</v>
      </c>
      <c r="F12" s="60">
        <v>3066.92</v>
      </c>
      <c r="G12" s="60">
        <f>2808+170+72</f>
        <v>3050</v>
      </c>
      <c r="H12" s="60">
        <f>612+16+15</f>
        <v>643</v>
      </c>
      <c r="I12" s="60">
        <f t="shared" si="2"/>
        <v>-626.07999999999993</v>
      </c>
      <c r="J12" s="61">
        <f t="shared" ref="J12:J16" si="3">I12</f>
        <v>-626.07999999999993</v>
      </c>
      <c r="K12" s="80"/>
      <c r="L12" s="62">
        <f t="shared" ref="L12:L22" si="4">IF(J12&lt;0,0,I12)</f>
        <v>0</v>
      </c>
      <c r="M12" s="63"/>
      <c r="N12" s="63"/>
      <c r="O12" s="69">
        <v>279.286</v>
      </c>
      <c r="P12" s="65">
        <f>O12*M3</f>
        <v>1337.7799400000001</v>
      </c>
      <c r="Q12" s="66">
        <f>-O12</f>
        <v>-279.286</v>
      </c>
      <c r="R12" s="66"/>
      <c r="S12" s="67">
        <f>Q12*M3</f>
        <v>-1337.7799400000001</v>
      </c>
    </row>
    <row r="13" spans="1:19" ht="31.5" hidden="1" customHeight="1" x14ac:dyDescent="0.25">
      <c r="A13" s="57">
        <v>44986</v>
      </c>
      <c r="B13" s="58">
        <v>1929.3</v>
      </c>
      <c r="C13" s="58">
        <v>387.9</v>
      </c>
      <c r="D13" s="59" t="s">
        <v>55</v>
      </c>
      <c r="E13" s="58" t="s">
        <v>23</v>
      </c>
      <c r="F13" s="60">
        <v>4656.3999999999996</v>
      </c>
      <c r="G13" s="60">
        <f>2793+166+69</f>
        <v>3028</v>
      </c>
      <c r="H13" s="60">
        <f>513+16+15</f>
        <v>544</v>
      </c>
      <c r="I13" s="60">
        <f t="shared" si="2"/>
        <v>1084.3999999999996</v>
      </c>
      <c r="J13" s="61">
        <f>I13+J12</f>
        <v>458.31999999999971</v>
      </c>
      <c r="K13" s="80" t="s">
        <v>77</v>
      </c>
      <c r="L13" s="62">
        <f>J13</f>
        <v>458.31999999999971</v>
      </c>
      <c r="M13" s="63"/>
      <c r="N13" s="63"/>
      <c r="O13" s="69">
        <v>279.286</v>
      </c>
      <c r="P13" s="65">
        <f>O13*M3</f>
        <v>1337.7799400000001</v>
      </c>
      <c r="Q13" s="66"/>
      <c r="R13" s="66">
        <f>L13-O13</f>
        <v>179.03399999999971</v>
      </c>
      <c r="S13" s="67">
        <f>R13*M3</f>
        <v>857.57285999999863</v>
      </c>
    </row>
    <row r="14" spans="1:19" ht="31.5" hidden="1" customHeight="1" x14ac:dyDescent="0.25">
      <c r="A14" s="57">
        <v>45017</v>
      </c>
      <c r="B14" s="58">
        <v>1929.3</v>
      </c>
      <c r="C14" s="58">
        <v>387.9</v>
      </c>
      <c r="D14" s="59" t="s">
        <v>55</v>
      </c>
      <c r="E14" s="58" t="s">
        <v>23</v>
      </c>
      <c r="F14" s="60">
        <v>3813</v>
      </c>
      <c r="G14" s="60">
        <f>2972+79+14</f>
        <v>3065</v>
      </c>
      <c r="H14" s="60">
        <f>587+16+15</f>
        <v>618</v>
      </c>
      <c r="I14" s="60">
        <f t="shared" si="2"/>
        <v>130</v>
      </c>
      <c r="J14" s="61">
        <f t="shared" si="3"/>
        <v>130</v>
      </c>
      <c r="K14" s="80" t="s">
        <v>78</v>
      </c>
      <c r="L14" s="62">
        <f>J14</f>
        <v>130</v>
      </c>
      <c r="M14" s="63"/>
      <c r="N14" s="63"/>
      <c r="O14" s="69">
        <v>279.286</v>
      </c>
      <c r="P14" s="65">
        <f>O14*M3</f>
        <v>1337.7799400000001</v>
      </c>
      <c r="Q14" s="66">
        <f>-O14+L14</f>
        <v>-149.286</v>
      </c>
      <c r="R14" s="66"/>
      <c r="S14" s="67">
        <f>Q14*M3</f>
        <v>-715.07993999999997</v>
      </c>
    </row>
    <row r="15" spans="1:19" ht="31.5" hidden="1" customHeight="1" x14ac:dyDescent="0.25">
      <c r="A15" s="57">
        <v>45047</v>
      </c>
      <c r="B15" s="58">
        <v>1929.3</v>
      </c>
      <c r="C15" s="58">
        <v>387.9</v>
      </c>
      <c r="D15" s="59" t="s">
        <v>55</v>
      </c>
      <c r="E15" s="58" t="s">
        <v>23</v>
      </c>
      <c r="F15" s="60">
        <v>5561.64</v>
      </c>
      <c r="G15" s="60">
        <f>3269+260+248</f>
        <v>3777</v>
      </c>
      <c r="H15" s="60">
        <f>887+16+15</f>
        <v>918</v>
      </c>
      <c r="I15" s="60">
        <f t="shared" si="2"/>
        <v>866.64000000000033</v>
      </c>
      <c r="J15" s="61">
        <f t="shared" si="3"/>
        <v>866.64000000000033</v>
      </c>
      <c r="K15" s="80" t="s">
        <v>79</v>
      </c>
      <c r="L15" s="62">
        <f>J15</f>
        <v>866.64000000000033</v>
      </c>
      <c r="M15" s="63"/>
      <c r="N15" s="63"/>
      <c r="O15" s="69">
        <v>279.286</v>
      </c>
      <c r="P15" s="65">
        <f>O15*M3</f>
        <v>1337.7799400000001</v>
      </c>
      <c r="Q15" s="66"/>
      <c r="R15" s="66">
        <f>L15-O15</f>
        <v>587.35400000000027</v>
      </c>
      <c r="S15" s="67">
        <f>R15*M3</f>
        <v>2813.4256600000012</v>
      </c>
    </row>
    <row r="16" spans="1:19" ht="31.5" hidden="1" customHeight="1" x14ac:dyDescent="0.25">
      <c r="A16" s="57">
        <v>45078</v>
      </c>
      <c r="B16" s="58">
        <v>1929.3</v>
      </c>
      <c r="C16" s="58">
        <v>387.9</v>
      </c>
      <c r="D16" s="59" t="s">
        <v>55</v>
      </c>
      <c r="E16" s="58" t="s">
        <v>23</v>
      </c>
      <c r="F16" s="60">
        <v>4031.64</v>
      </c>
      <c r="G16" s="60">
        <f>3287+299+173</f>
        <v>3759</v>
      </c>
      <c r="H16" s="60">
        <f>771+16+15</f>
        <v>802</v>
      </c>
      <c r="I16" s="60">
        <f t="shared" si="2"/>
        <v>-529.36000000000013</v>
      </c>
      <c r="J16" s="61">
        <f t="shared" si="3"/>
        <v>-529.36000000000013</v>
      </c>
      <c r="K16" s="80" t="s">
        <v>80</v>
      </c>
      <c r="L16" s="62">
        <f t="shared" si="4"/>
        <v>0</v>
      </c>
      <c r="M16" s="63"/>
      <c r="N16" s="63"/>
      <c r="O16" s="69">
        <v>279.286</v>
      </c>
      <c r="P16" s="65">
        <f>O16*M3</f>
        <v>1337.7799400000001</v>
      </c>
      <c r="Q16" s="66">
        <f t="shared" ref="Q16:Q22" si="5">-O16</f>
        <v>-279.286</v>
      </c>
      <c r="R16" s="66"/>
      <c r="S16" s="67">
        <f>Q16*M3</f>
        <v>-1337.7799400000001</v>
      </c>
    </row>
    <row r="17" spans="1:19" ht="31.5" hidden="1" customHeight="1" x14ac:dyDescent="0.25">
      <c r="A17" s="57">
        <v>45108</v>
      </c>
      <c r="B17" s="58">
        <v>1929.3</v>
      </c>
      <c r="C17" s="58">
        <v>387.9</v>
      </c>
      <c r="D17" s="59" t="s">
        <v>55</v>
      </c>
      <c r="E17" s="58" t="s">
        <v>23</v>
      </c>
      <c r="F17" s="60">
        <v>3160.4</v>
      </c>
      <c r="G17" s="60">
        <f>2744+149+96</f>
        <v>2989</v>
      </c>
      <c r="H17" s="60">
        <f>623+16+15</f>
        <v>654</v>
      </c>
      <c r="I17" s="60">
        <f t="shared" si="2"/>
        <v>-482.59999999999991</v>
      </c>
      <c r="J17" s="61">
        <f>I17+J16</f>
        <v>-1011.96</v>
      </c>
      <c r="K17" s="80" t="s">
        <v>81</v>
      </c>
      <c r="L17" s="62">
        <f t="shared" si="4"/>
        <v>0</v>
      </c>
      <c r="M17" s="63"/>
      <c r="N17" s="63"/>
      <c r="O17" s="69">
        <v>279.286</v>
      </c>
      <c r="P17" s="65">
        <f>O17*M3</f>
        <v>1337.7799400000001</v>
      </c>
      <c r="Q17" s="66">
        <f t="shared" si="5"/>
        <v>-279.286</v>
      </c>
      <c r="R17" s="66"/>
      <c r="S17" s="67">
        <f>Q17*M3</f>
        <v>-1337.7799400000001</v>
      </c>
    </row>
    <row r="18" spans="1:19" ht="31.5" hidden="1" customHeight="1" x14ac:dyDescent="0.25">
      <c r="A18" s="57">
        <v>45139</v>
      </c>
      <c r="B18" s="58">
        <v>1929.3</v>
      </c>
      <c r="C18" s="58">
        <v>387.9</v>
      </c>
      <c r="D18" s="59" t="s">
        <v>55</v>
      </c>
      <c r="E18" s="58" t="s">
        <v>23</v>
      </c>
      <c r="F18" s="60">
        <v>3716.08</v>
      </c>
      <c r="G18" s="60">
        <f>2655+178+95</f>
        <v>2928</v>
      </c>
      <c r="H18" s="60">
        <f>561+16+15</f>
        <v>592</v>
      </c>
      <c r="I18" s="60">
        <f t="shared" si="2"/>
        <v>196.07999999999993</v>
      </c>
      <c r="J18" s="61">
        <f>I18+J17</f>
        <v>-815.88000000000011</v>
      </c>
      <c r="K18" s="80" t="s">
        <v>82</v>
      </c>
      <c r="L18" s="62">
        <f t="shared" si="4"/>
        <v>0</v>
      </c>
      <c r="M18" s="63"/>
      <c r="N18" s="63"/>
      <c r="O18" s="69">
        <v>279.286</v>
      </c>
      <c r="P18" s="65">
        <f>O18*M3</f>
        <v>1337.7799400000001</v>
      </c>
      <c r="Q18" s="66">
        <f t="shared" si="5"/>
        <v>-279.286</v>
      </c>
      <c r="R18" s="66"/>
      <c r="S18" s="67">
        <f>Q18*M3</f>
        <v>-1337.7799400000001</v>
      </c>
    </row>
    <row r="19" spans="1:19" ht="31.5" hidden="1" customHeight="1" x14ac:dyDescent="0.25">
      <c r="A19" s="57">
        <v>45170</v>
      </c>
      <c r="B19" s="58">
        <v>1929.3</v>
      </c>
      <c r="C19" s="58">
        <v>387.9</v>
      </c>
      <c r="D19" s="59" t="s">
        <v>55</v>
      </c>
      <c r="E19" s="58" t="s">
        <v>23</v>
      </c>
      <c r="F19" s="60">
        <v>3878</v>
      </c>
      <c r="G19" s="60">
        <f>3074+144+70</f>
        <v>3288</v>
      </c>
      <c r="H19" s="60">
        <f>650+16+15</f>
        <v>681</v>
      </c>
      <c r="I19" s="60">
        <f t="shared" si="2"/>
        <v>-91</v>
      </c>
      <c r="J19" s="61">
        <f>I19+J18</f>
        <v>-906.88000000000011</v>
      </c>
      <c r="K19" s="80" t="s">
        <v>83</v>
      </c>
      <c r="L19" s="62">
        <f t="shared" si="4"/>
        <v>0</v>
      </c>
      <c r="M19" s="63"/>
      <c r="N19" s="63"/>
      <c r="O19" s="69">
        <v>279.286</v>
      </c>
      <c r="P19" s="65">
        <f>O19*M3</f>
        <v>1337.7799400000001</v>
      </c>
      <c r="Q19" s="66">
        <f t="shared" si="5"/>
        <v>-279.286</v>
      </c>
      <c r="R19" s="66"/>
      <c r="S19" s="67">
        <f>Q19*M3</f>
        <v>-1337.7799400000001</v>
      </c>
    </row>
    <row r="20" spans="1:19" ht="31.5" hidden="1" customHeight="1" x14ac:dyDescent="0.25">
      <c r="A20" s="57">
        <v>45200</v>
      </c>
      <c r="B20" s="58">
        <v>1929.3</v>
      </c>
      <c r="C20" s="58">
        <v>387.9</v>
      </c>
      <c r="D20" s="59" t="s">
        <v>55</v>
      </c>
      <c r="E20" s="58" t="s">
        <v>23</v>
      </c>
      <c r="F20" s="60">
        <v>5301.68</v>
      </c>
      <c r="G20" s="60">
        <f>3096+252+187</f>
        <v>3535</v>
      </c>
      <c r="H20" s="60">
        <f>709+16+15</f>
        <v>740</v>
      </c>
      <c r="I20" s="60">
        <f t="shared" si="2"/>
        <v>1026.6800000000003</v>
      </c>
      <c r="J20" s="61">
        <f>I20+J19</f>
        <v>119.80000000000018</v>
      </c>
      <c r="K20" s="80" t="s">
        <v>84</v>
      </c>
      <c r="L20" s="62">
        <f>J20</f>
        <v>119.80000000000018</v>
      </c>
      <c r="M20" s="63"/>
      <c r="N20" s="63"/>
      <c r="O20" s="69">
        <v>279.286</v>
      </c>
      <c r="P20" s="65">
        <f>O20*M3</f>
        <v>1337.7799400000001</v>
      </c>
      <c r="Q20" s="66">
        <f>-O20+L20</f>
        <v>-159.48599999999982</v>
      </c>
      <c r="R20" s="66"/>
      <c r="S20" s="67">
        <f>S17+S18</f>
        <v>-2675.5598800000002</v>
      </c>
    </row>
    <row r="21" spans="1:19" ht="31.5" hidden="1" customHeight="1" x14ac:dyDescent="0.25">
      <c r="A21" s="57">
        <v>45231</v>
      </c>
      <c r="B21" s="58">
        <v>1929.3</v>
      </c>
      <c r="C21" s="58">
        <v>387.9</v>
      </c>
      <c r="D21" s="59" t="s">
        <v>55</v>
      </c>
      <c r="E21" s="58" t="s">
        <v>23</v>
      </c>
      <c r="F21" s="60">
        <v>4065.68</v>
      </c>
      <c r="G21" s="60">
        <f>2997+218+113</f>
        <v>3328</v>
      </c>
      <c r="H21" s="60">
        <f>654+15+15</f>
        <v>684</v>
      </c>
      <c r="I21" s="60">
        <f t="shared" si="2"/>
        <v>53.679999999999836</v>
      </c>
      <c r="J21" s="61">
        <f>I21-1</f>
        <v>52.679999999999836</v>
      </c>
      <c r="K21" s="80" t="s">
        <v>85</v>
      </c>
      <c r="L21" s="62">
        <f>J21</f>
        <v>52.679999999999836</v>
      </c>
      <c r="M21" s="63"/>
      <c r="N21" s="63"/>
      <c r="O21" s="69">
        <v>279.286</v>
      </c>
      <c r="P21" s="65">
        <f>O21*M3</f>
        <v>1337.7799400000001</v>
      </c>
      <c r="Q21" s="66">
        <f>-O21+L21</f>
        <v>-226.60600000000017</v>
      </c>
      <c r="R21" s="66"/>
      <c r="S21" s="67">
        <f>Q21*M3</f>
        <v>-1085.4427400000009</v>
      </c>
    </row>
    <row r="22" spans="1:19" ht="31.5" hidden="1" customHeight="1" x14ac:dyDescent="0.25">
      <c r="A22" s="57">
        <v>45261</v>
      </c>
      <c r="B22" s="58">
        <v>1929.3</v>
      </c>
      <c r="C22" s="58">
        <v>387.9</v>
      </c>
      <c r="D22" s="59" t="s">
        <v>55</v>
      </c>
      <c r="E22" s="58" t="s">
        <v>23</v>
      </c>
      <c r="F22" s="60">
        <v>3705.76</v>
      </c>
      <c r="G22" s="60">
        <f>2892+225+73</f>
        <v>3190</v>
      </c>
      <c r="H22" s="60">
        <f>565+15+15</f>
        <v>595</v>
      </c>
      <c r="I22" s="60">
        <f t="shared" si="2"/>
        <v>-79.239999999999782</v>
      </c>
      <c r="J22" s="61">
        <f>I22-1</f>
        <v>-80.239999999999782</v>
      </c>
      <c r="K22" s="81" t="s">
        <v>86</v>
      </c>
      <c r="L22" s="62">
        <f t="shared" si="4"/>
        <v>0</v>
      </c>
      <c r="M22" s="63"/>
      <c r="N22" s="63"/>
      <c r="O22" s="69">
        <v>279.286</v>
      </c>
      <c r="P22" s="65">
        <f>O22*M3</f>
        <v>1337.7799400000001</v>
      </c>
      <c r="Q22" s="66">
        <f t="shared" si="5"/>
        <v>-279.286</v>
      </c>
      <c r="R22" s="66"/>
      <c r="S22" s="67">
        <f>Q22*M3</f>
        <v>-1337.7799400000001</v>
      </c>
    </row>
    <row r="23" spans="1:19" s="20" customFormat="1" ht="31.5" hidden="1" customHeight="1" x14ac:dyDescent="0.25">
      <c r="A23" s="75"/>
      <c r="L23" s="20">
        <f>SUM(L11:L22)</f>
        <v>2307.2800000000002</v>
      </c>
      <c r="O23" s="20">
        <f>SUM(O11:O22)</f>
        <v>3351.4320000000002</v>
      </c>
      <c r="P23" s="20">
        <f>SUM(P11:P22)</f>
        <v>16053.359280000002</v>
      </c>
      <c r="R23" s="20">
        <f>SUM(Q11:R22)</f>
        <v>-1044.152</v>
      </c>
      <c r="S23" s="20">
        <f>SUM(S11:S22)</f>
        <v>-6913.1100200000019</v>
      </c>
    </row>
    <row r="24" spans="1:19" s="20" customFormat="1" ht="31.5" hidden="1" customHeight="1" x14ac:dyDescent="0.25">
      <c r="A24" s="75"/>
      <c r="L24" s="20">
        <f>L23*M3</f>
        <v>11051.871200000001</v>
      </c>
    </row>
    <row r="25" spans="1:19" ht="15.75" hidden="1" customHeight="1" x14ac:dyDescent="0.25"/>
    <row r="26" spans="1:19" ht="15.75" hidden="1" customHeight="1" x14ac:dyDescent="0.25"/>
    <row r="27" spans="1:19" ht="31.5" hidden="1" customHeight="1" x14ac:dyDescent="0.25">
      <c r="A27" s="57">
        <v>45292</v>
      </c>
      <c r="B27" s="58">
        <v>1929.3</v>
      </c>
      <c r="C27" s="58">
        <v>387.9</v>
      </c>
      <c r="D27" s="59" t="s">
        <v>55</v>
      </c>
      <c r="E27" s="58" t="s">
        <v>23</v>
      </c>
      <c r="F27" s="60">
        <v>4627</v>
      </c>
      <c r="G27" s="60">
        <f>3290+249+95</f>
        <v>3634</v>
      </c>
      <c r="H27" s="60">
        <f>677+16+15</f>
        <v>708</v>
      </c>
      <c r="I27" s="60">
        <f t="shared" ref="I27:I38" si="6">F27-(G27+H27)</f>
        <v>285</v>
      </c>
      <c r="J27" s="61">
        <f>I27-80</f>
        <v>205</v>
      </c>
      <c r="K27" s="81" t="s">
        <v>87</v>
      </c>
      <c r="L27" s="62">
        <f t="shared" ref="L27:L38" si="7">IF(J27&lt;0,0,I27)</f>
        <v>285</v>
      </c>
      <c r="M27" s="63"/>
      <c r="N27" s="63"/>
      <c r="O27" s="69">
        <v>279.286</v>
      </c>
      <c r="P27" s="65">
        <f>O27*O2</f>
        <v>1337.7799400000001</v>
      </c>
      <c r="Q27" s="66"/>
      <c r="R27" s="66">
        <f>L27-O27</f>
        <v>5.7139999999999986</v>
      </c>
      <c r="S27" s="67">
        <f>Q27*O2</f>
        <v>0</v>
      </c>
    </row>
    <row r="28" spans="1:19" ht="31.5" hidden="1" customHeight="1" x14ac:dyDescent="0.25">
      <c r="A28" s="57">
        <v>45323</v>
      </c>
      <c r="B28" s="58">
        <v>1929.3</v>
      </c>
      <c r="C28" s="58">
        <v>387.9</v>
      </c>
      <c r="D28" s="59" t="s">
        <v>55</v>
      </c>
      <c r="E28" s="58" t="s">
        <v>23</v>
      </c>
      <c r="F28" s="60">
        <v>3757</v>
      </c>
      <c r="G28" s="60">
        <f>2898+266+64</f>
        <v>3228</v>
      </c>
      <c r="H28" s="60">
        <f>555+16+15</f>
        <v>586</v>
      </c>
      <c r="I28" s="60">
        <f t="shared" si="6"/>
        <v>-57</v>
      </c>
      <c r="J28" s="61">
        <f t="shared" ref="J28" si="8">I28</f>
        <v>-57</v>
      </c>
      <c r="K28" s="82" t="s">
        <v>88</v>
      </c>
      <c r="L28" s="62">
        <f t="shared" si="7"/>
        <v>0</v>
      </c>
      <c r="M28" s="63"/>
      <c r="N28" s="63"/>
      <c r="O28" s="69">
        <v>279.286</v>
      </c>
      <c r="P28" s="65">
        <f>O27*O2</f>
        <v>1337.7799400000001</v>
      </c>
      <c r="Q28" s="66">
        <f>-O28-L28</f>
        <v>-279.286</v>
      </c>
      <c r="R28" s="66"/>
      <c r="S28" s="67">
        <f>Q28*O2</f>
        <v>-1337.7799400000001</v>
      </c>
    </row>
    <row r="29" spans="1:19" ht="31.5" hidden="1" customHeight="1" x14ac:dyDescent="0.25">
      <c r="A29" s="57">
        <v>45352</v>
      </c>
      <c r="B29" s="58">
        <v>1929.3</v>
      </c>
      <c r="C29" s="58">
        <v>387.9</v>
      </c>
      <c r="D29" s="59" t="s">
        <v>55</v>
      </c>
      <c r="E29" s="58" t="s">
        <v>23</v>
      </c>
      <c r="F29" s="60">
        <v>3846</v>
      </c>
      <c r="G29" s="60">
        <f>2827+202+64</f>
        <v>3093</v>
      </c>
      <c r="H29" s="60">
        <f>534+16+15</f>
        <v>565</v>
      </c>
      <c r="I29" s="60">
        <f>F29-(G29+H29)</f>
        <v>188</v>
      </c>
      <c r="J29" s="61">
        <f t="shared" ref="J29:J38" si="9">I29</f>
        <v>188</v>
      </c>
      <c r="K29" s="80" t="s">
        <v>89</v>
      </c>
      <c r="L29" s="62">
        <f t="shared" si="7"/>
        <v>188</v>
      </c>
      <c r="M29" s="63"/>
      <c r="N29" s="63"/>
      <c r="O29" s="69">
        <v>279.286</v>
      </c>
      <c r="P29" s="65">
        <f>O27*O2</f>
        <v>1337.7799400000001</v>
      </c>
      <c r="Q29" s="66">
        <f>L29-O29</f>
        <v>-91.286000000000001</v>
      </c>
      <c r="R29" s="66"/>
      <c r="S29" s="67">
        <f>Q29*O2</f>
        <v>-437.25994000000003</v>
      </c>
    </row>
    <row r="30" spans="1:19" ht="31.5" hidden="1" customHeight="1" x14ac:dyDescent="0.25">
      <c r="A30" s="57">
        <v>45383</v>
      </c>
      <c r="B30" s="58">
        <v>1929.3</v>
      </c>
      <c r="C30" s="58">
        <v>387.9</v>
      </c>
      <c r="D30" s="59" t="s">
        <v>55</v>
      </c>
      <c r="E30" s="58" t="s">
        <v>23</v>
      </c>
      <c r="F30" s="60">
        <v>4367</v>
      </c>
      <c r="G30" s="60">
        <f>2462+198+94</f>
        <v>2754</v>
      </c>
      <c r="H30" s="60">
        <f>607+16+15</f>
        <v>638</v>
      </c>
      <c r="I30" s="60">
        <f>F30-(G30+H30)</f>
        <v>975</v>
      </c>
      <c r="J30" s="61">
        <f t="shared" si="9"/>
        <v>975</v>
      </c>
      <c r="K30" s="80" t="s">
        <v>90</v>
      </c>
      <c r="L30" s="62">
        <f t="shared" si="7"/>
        <v>975</v>
      </c>
      <c r="M30" s="63"/>
      <c r="N30" s="63"/>
      <c r="O30" s="69">
        <v>279.286</v>
      </c>
      <c r="P30" s="65">
        <f>O27*O2</f>
        <v>1337.7799400000001</v>
      </c>
      <c r="Q30" s="66"/>
      <c r="R30" s="66">
        <f>L30-O30</f>
        <v>695.71399999999994</v>
      </c>
      <c r="S30" s="67">
        <f>Q30*O2</f>
        <v>0</v>
      </c>
    </row>
    <row r="31" spans="1:19" ht="31.5" hidden="1" customHeight="1" x14ac:dyDescent="0.25">
      <c r="A31" s="57">
        <v>45413</v>
      </c>
      <c r="B31" s="58">
        <v>1929.3</v>
      </c>
      <c r="C31" s="58">
        <v>387.9</v>
      </c>
      <c r="D31" s="59" t="s">
        <v>55</v>
      </c>
      <c r="E31" s="58" t="s">
        <v>23</v>
      </c>
      <c r="F31" s="60">
        <v>3836</v>
      </c>
      <c r="G31" s="60">
        <f>2981+242+127</f>
        <v>3350</v>
      </c>
      <c r="H31" s="60">
        <f>620+16+15</f>
        <v>651</v>
      </c>
      <c r="I31" s="60">
        <f>F31-(G31+H31)</f>
        <v>-165</v>
      </c>
      <c r="J31" s="61">
        <f t="shared" si="9"/>
        <v>-165</v>
      </c>
      <c r="K31" s="80" t="s">
        <v>91</v>
      </c>
      <c r="L31" s="62">
        <f t="shared" si="7"/>
        <v>0</v>
      </c>
      <c r="M31" s="63"/>
      <c r="N31" s="63"/>
      <c r="O31" s="69">
        <v>279.286</v>
      </c>
      <c r="P31" s="65">
        <f>O27*O2</f>
        <v>1337.7799400000001</v>
      </c>
      <c r="Q31" s="66">
        <f>L31-O31</f>
        <v>-279.286</v>
      </c>
      <c r="R31" s="66"/>
      <c r="S31" s="67">
        <f>Q31*O2</f>
        <v>-1337.7799400000001</v>
      </c>
    </row>
    <row r="32" spans="1:19" ht="31.5" hidden="1" customHeight="1" x14ac:dyDescent="0.25">
      <c r="A32" s="57">
        <v>45444</v>
      </c>
      <c r="B32" s="58">
        <v>1929.3</v>
      </c>
      <c r="C32" s="58">
        <v>387.9</v>
      </c>
      <c r="D32" s="59" t="s">
        <v>55</v>
      </c>
      <c r="E32" s="58" t="s">
        <v>23</v>
      </c>
      <c r="F32" s="60">
        <v>4052</v>
      </c>
      <c r="G32" s="60">
        <f>3114+208+82</f>
        <v>3404</v>
      </c>
      <c r="H32" s="60">
        <f>581+16+15</f>
        <v>612</v>
      </c>
      <c r="I32" s="60">
        <f>F32-(G32+H32)</f>
        <v>36</v>
      </c>
      <c r="J32" s="61">
        <f t="shared" si="9"/>
        <v>36</v>
      </c>
      <c r="K32" s="80" t="s">
        <v>92</v>
      </c>
      <c r="L32" s="62">
        <f t="shared" si="7"/>
        <v>36</v>
      </c>
      <c r="M32" s="63"/>
      <c r="N32" s="63"/>
      <c r="O32" s="69">
        <v>279.286</v>
      </c>
      <c r="P32" s="65">
        <f>O27*O2</f>
        <v>1337.7799400000001</v>
      </c>
      <c r="Q32" s="66">
        <f>L32-O32</f>
        <v>-243.286</v>
      </c>
      <c r="R32" s="66"/>
      <c r="S32" s="67">
        <f>Q32*O2</f>
        <v>-1165.3399400000001</v>
      </c>
    </row>
    <row r="33" spans="1:19" ht="31.5" hidden="1" customHeight="1" x14ac:dyDescent="0.25">
      <c r="A33" s="57">
        <v>45474</v>
      </c>
      <c r="B33" s="58">
        <v>1929.3</v>
      </c>
      <c r="C33" s="58">
        <v>387.9</v>
      </c>
      <c r="D33" s="59" t="s">
        <v>55</v>
      </c>
      <c r="E33" s="58" t="s">
        <v>23</v>
      </c>
      <c r="F33" s="60">
        <v>3797</v>
      </c>
      <c r="G33" s="60">
        <f>2724+188+118</f>
        <v>3030</v>
      </c>
      <c r="H33" s="60">
        <f>602+16+15</f>
        <v>633</v>
      </c>
      <c r="I33" s="60">
        <f>F33-(G33+H33)</f>
        <v>134</v>
      </c>
      <c r="J33" s="61">
        <f t="shared" si="9"/>
        <v>134</v>
      </c>
      <c r="K33" s="80" t="s">
        <v>93</v>
      </c>
      <c r="L33" s="62">
        <f t="shared" si="7"/>
        <v>134</v>
      </c>
      <c r="M33" s="63"/>
      <c r="N33" s="63"/>
      <c r="O33" s="69">
        <v>279.286</v>
      </c>
      <c r="P33" s="65">
        <f>O27*O3</f>
        <v>1455.08006</v>
      </c>
      <c r="Q33" s="66">
        <f>L33-O33</f>
        <v>-145.286</v>
      </c>
      <c r="R33" s="66"/>
      <c r="S33" s="67">
        <f>Q33*O3</f>
        <v>-756.94006000000002</v>
      </c>
    </row>
    <row r="34" spans="1:19" ht="31.5" hidden="1" customHeight="1" x14ac:dyDescent="0.25">
      <c r="A34" s="57">
        <v>45505</v>
      </c>
      <c r="B34" s="58">
        <v>1929.3</v>
      </c>
      <c r="C34" s="58">
        <v>387.9</v>
      </c>
      <c r="D34" s="59" t="s">
        <v>55</v>
      </c>
      <c r="E34" s="58" t="s">
        <v>23</v>
      </c>
      <c r="F34" s="60">
        <v>4011</v>
      </c>
      <c r="G34" s="60">
        <f>2633+135+65</f>
        <v>2833</v>
      </c>
      <c r="H34" s="60">
        <f>500+16+15</f>
        <v>531</v>
      </c>
      <c r="I34" s="60">
        <f t="shared" si="6"/>
        <v>647</v>
      </c>
      <c r="J34" s="61">
        <f t="shared" si="9"/>
        <v>647</v>
      </c>
      <c r="K34" s="80" t="s">
        <v>94</v>
      </c>
      <c r="L34" s="62">
        <f t="shared" si="7"/>
        <v>647</v>
      </c>
      <c r="M34" s="63"/>
      <c r="N34" s="63"/>
      <c r="O34" s="69">
        <v>279.286</v>
      </c>
      <c r="P34" s="65">
        <f>O28*O3</f>
        <v>1455.08006</v>
      </c>
      <c r="Q34" s="66"/>
      <c r="R34" s="66">
        <f>L34-O34</f>
        <v>367.714</v>
      </c>
      <c r="S34" s="67">
        <f>Q34*O3</f>
        <v>0</v>
      </c>
    </row>
    <row r="35" spans="1:19" ht="31.5" hidden="1" customHeight="1" x14ac:dyDescent="0.25">
      <c r="A35" s="57">
        <v>45536</v>
      </c>
      <c r="B35" s="58">
        <v>1929.3</v>
      </c>
      <c r="C35" s="58">
        <v>387.9</v>
      </c>
      <c r="D35" s="59" t="s">
        <v>55</v>
      </c>
      <c r="E35" s="58" t="s">
        <v>23</v>
      </c>
      <c r="F35" s="60">
        <v>3803</v>
      </c>
      <c r="G35" s="60">
        <f>3003+181+102</f>
        <v>3286</v>
      </c>
      <c r="H35" s="60">
        <f>673+16+15</f>
        <v>704</v>
      </c>
      <c r="I35" s="60">
        <f t="shared" si="6"/>
        <v>-187</v>
      </c>
      <c r="J35" s="61">
        <f t="shared" si="9"/>
        <v>-187</v>
      </c>
      <c r="K35" s="80" t="s">
        <v>95</v>
      </c>
      <c r="L35" s="62">
        <f t="shared" si="7"/>
        <v>0</v>
      </c>
      <c r="M35" s="63"/>
      <c r="N35" s="63"/>
      <c r="O35" s="69">
        <v>279.286</v>
      </c>
      <c r="P35" s="65">
        <f>O29*O3</f>
        <v>1455.08006</v>
      </c>
      <c r="Q35" s="66">
        <f>L35-O35</f>
        <v>-279.286</v>
      </c>
      <c r="R35" s="66"/>
      <c r="S35" s="67">
        <f>Q35*O3</f>
        <v>-1455.08006</v>
      </c>
    </row>
    <row r="36" spans="1:19" ht="31.5" hidden="1" customHeight="1" x14ac:dyDescent="0.25">
      <c r="A36" s="57">
        <v>45566</v>
      </c>
      <c r="B36" s="58">
        <v>1929.3</v>
      </c>
      <c r="C36" s="58">
        <v>387.9</v>
      </c>
      <c r="D36" s="59" t="s">
        <v>55</v>
      </c>
      <c r="E36" s="58" t="s">
        <v>23</v>
      </c>
      <c r="F36" s="60">
        <v>5870</v>
      </c>
      <c r="G36" s="60">
        <f>3359+226+139</f>
        <v>3724</v>
      </c>
      <c r="H36" s="60">
        <f>626+16+15</f>
        <v>657</v>
      </c>
      <c r="I36" s="60">
        <f t="shared" si="6"/>
        <v>1489</v>
      </c>
      <c r="J36" s="61">
        <f t="shared" si="9"/>
        <v>1489</v>
      </c>
      <c r="K36" s="80" t="s">
        <v>96</v>
      </c>
      <c r="L36" s="62">
        <f t="shared" si="7"/>
        <v>1489</v>
      </c>
      <c r="M36" s="63"/>
      <c r="N36" s="63"/>
      <c r="O36" s="69">
        <v>279.286</v>
      </c>
      <c r="P36" s="65">
        <f>O30*O3</f>
        <v>1455.08006</v>
      </c>
      <c r="Q36" s="66"/>
      <c r="R36" s="66">
        <f>L36-O36</f>
        <v>1209.7139999999999</v>
      </c>
      <c r="S36" s="67">
        <f>Q36*O3</f>
        <v>0</v>
      </c>
    </row>
    <row r="37" spans="1:19" ht="31.5" hidden="1" customHeight="1" x14ac:dyDescent="0.25">
      <c r="A37" s="57">
        <v>45597</v>
      </c>
      <c r="B37" s="58">
        <v>1929.3</v>
      </c>
      <c r="C37" s="58">
        <v>387.9</v>
      </c>
      <c r="D37" s="59" t="s">
        <v>55</v>
      </c>
      <c r="E37" s="58" t="s">
        <v>23</v>
      </c>
      <c r="F37" s="60">
        <v>4095</v>
      </c>
      <c r="G37" s="60">
        <f>3233+202+70</f>
        <v>3505</v>
      </c>
      <c r="H37" s="60">
        <f>555+16+15</f>
        <v>586</v>
      </c>
      <c r="I37" s="60">
        <f>F37-(G37+H37)</f>
        <v>4</v>
      </c>
      <c r="J37" s="61">
        <f t="shared" si="9"/>
        <v>4</v>
      </c>
      <c r="K37" s="80" t="s">
        <v>97</v>
      </c>
      <c r="L37" s="62">
        <f t="shared" si="7"/>
        <v>4</v>
      </c>
      <c r="M37" s="63"/>
      <c r="N37" s="63"/>
      <c r="O37" s="69">
        <v>279.286</v>
      </c>
      <c r="P37" s="65">
        <f>O31*O3</f>
        <v>1455.08006</v>
      </c>
      <c r="Q37" s="66">
        <f>L37-O37</f>
        <v>-275.286</v>
      </c>
      <c r="R37" s="66"/>
      <c r="S37" s="67">
        <f>Q37*O3</f>
        <v>-1434.2400600000001</v>
      </c>
    </row>
    <row r="38" spans="1:19" ht="31.5" hidden="1" customHeight="1" x14ac:dyDescent="0.25">
      <c r="A38" s="57">
        <v>45627</v>
      </c>
      <c r="B38" s="58">
        <v>1929.3</v>
      </c>
      <c r="C38" s="58">
        <v>387.9</v>
      </c>
      <c r="D38" s="59" t="s">
        <v>55</v>
      </c>
      <c r="E38" s="58" t="s">
        <v>23</v>
      </c>
      <c r="F38" s="60">
        <f>4302</f>
        <v>4302</v>
      </c>
      <c r="G38" s="60">
        <f>3117+226+83</f>
        <v>3426</v>
      </c>
      <c r="H38" s="60">
        <f>521+16+15</f>
        <v>552</v>
      </c>
      <c r="I38" s="60">
        <f t="shared" si="6"/>
        <v>324</v>
      </c>
      <c r="J38" s="61">
        <f t="shared" si="9"/>
        <v>324</v>
      </c>
      <c r="K38" s="81" t="s">
        <v>98</v>
      </c>
      <c r="L38" s="62">
        <f t="shared" si="7"/>
        <v>324</v>
      </c>
      <c r="M38" s="63"/>
      <c r="N38" s="63"/>
      <c r="O38" s="69">
        <v>279.286</v>
      </c>
      <c r="P38" s="65">
        <f>O32*O3</f>
        <v>1455.08006</v>
      </c>
      <c r="Q38" s="66"/>
      <c r="R38" s="66">
        <f>L38-O38</f>
        <v>44.713999999999999</v>
      </c>
      <c r="S38" s="67">
        <f>Q38*O3</f>
        <v>0</v>
      </c>
    </row>
    <row r="39" spans="1:19" s="20" customFormat="1" ht="31.5" hidden="1" customHeight="1" x14ac:dyDescent="0.25">
      <c r="A39" s="75"/>
      <c r="L39" s="86">
        <f>SUM(L27:L38)</f>
        <v>4082</v>
      </c>
      <c r="O39" s="20">
        <f>SUM(O27:O38)</f>
        <v>3351.4320000000002</v>
      </c>
      <c r="P39" s="20">
        <f>SUM(P27:P38)</f>
        <v>16757.16</v>
      </c>
      <c r="R39" s="20">
        <f>SUM(Q27:R32)</f>
        <v>-191.71600000000007</v>
      </c>
      <c r="S39" s="20">
        <f>SUM(S27:S38)</f>
        <v>-7924.4199400000007</v>
      </c>
    </row>
    <row r="40" spans="1:19" s="20" customFormat="1" ht="31.5" hidden="1" customHeight="1" x14ac:dyDescent="0.25">
      <c r="A40" s="75"/>
      <c r="L40" s="86">
        <f t="shared" ref="L40" si="10">IF(J39&lt;0,0,I39)</f>
        <v>0</v>
      </c>
      <c r="R40" s="20">
        <f>SUM(Q33:R38)</f>
        <v>922.28399999999988</v>
      </c>
    </row>
    <row r="41" spans="1:19" hidden="1" x14ac:dyDescent="0.25"/>
    <row r="42" spans="1:19" ht="31.5" customHeight="1" x14ac:dyDescent="0.25">
      <c r="A42" s="57">
        <v>45658</v>
      </c>
      <c r="B42" s="58">
        <v>1929.3</v>
      </c>
      <c r="C42" s="58">
        <v>387.9</v>
      </c>
      <c r="D42" s="59" t="s">
        <v>55</v>
      </c>
      <c r="E42" s="58" t="s">
        <v>23</v>
      </c>
      <c r="F42" s="60">
        <v>4135</v>
      </c>
      <c r="G42" s="60">
        <f>3120+241+77</f>
        <v>3438</v>
      </c>
      <c r="H42" s="60">
        <f>681+16+15</f>
        <v>712</v>
      </c>
      <c r="I42" s="60">
        <f t="shared" ref="I42:I43" si="11">F42-(G42+H42)</f>
        <v>-15</v>
      </c>
      <c r="J42" s="61">
        <f>I42</f>
        <v>-15</v>
      </c>
      <c r="K42" s="93" t="s">
        <v>103</v>
      </c>
      <c r="L42" s="62">
        <f t="shared" ref="L42:L53" si="12">IF(J42&lt;0,0,I42)</f>
        <v>0</v>
      </c>
      <c r="M42" s="63"/>
      <c r="N42" s="63"/>
      <c r="O42" s="69">
        <v>279.286</v>
      </c>
      <c r="P42" s="65">
        <f>O42*R2</f>
        <v>1455.08006</v>
      </c>
      <c r="Q42" s="66">
        <f>L42-O42</f>
        <v>-279.286</v>
      </c>
      <c r="R42" s="66"/>
      <c r="S42" s="92">
        <f>Q42*R2</f>
        <v>-1455.08006</v>
      </c>
    </row>
    <row r="43" spans="1:19" ht="31.5" customHeight="1" x14ac:dyDescent="0.25">
      <c r="A43" s="57">
        <v>45689</v>
      </c>
      <c r="B43" s="58">
        <v>1929.3</v>
      </c>
      <c r="C43" s="58">
        <v>387.9</v>
      </c>
      <c r="D43" s="59" t="s">
        <v>55</v>
      </c>
      <c r="E43" s="58" t="s">
        <v>23</v>
      </c>
      <c r="F43" s="60">
        <f>4666</f>
        <v>4666</v>
      </c>
      <c r="G43" s="60">
        <f>2946+260+72</f>
        <v>3278</v>
      </c>
      <c r="H43" s="60">
        <f>582+16+15</f>
        <v>613</v>
      </c>
      <c r="I43" s="60">
        <f t="shared" si="11"/>
        <v>775</v>
      </c>
      <c r="J43" s="61">
        <f t="shared" ref="J43:J44" si="13">I43</f>
        <v>775</v>
      </c>
      <c r="K43" s="93" t="s">
        <v>104</v>
      </c>
      <c r="L43" s="62">
        <f>J43+J42</f>
        <v>760</v>
      </c>
      <c r="M43" s="63"/>
      <c r="N43" s="63"/>
      <c r="O43" s="69">
        <v>279.286</v>
      </c>
      <c r="P43" s="65">
        <f>O43*R2</f>
        <v>1455.08006</v>
      </c>
      <c r="Q43" s="66"/>
      <c r="R43" s="66">
        <f>L43-O43</f>
        <v>480.714</v>
      </c>
      <c r="S43" s="92">
        <f>R43*R2</f>
        <v>2504.5199400000001</v>
      </c>
    </row>
    <row r="44" spans="1:19" ht="31.5" customHeight="1" x14ac:dyDescent="0.25">
      <c r="A44" s="57">
        <v>45717</v>
      </c>
      <c r="B44" s="58">
        <v>1929.3</v>
      </c>
      <c r="C44" s="58">
        <v>387.9</v>
      </c>
      <c r="D44" s="59" t="s">
        <v>55</v>
      </c>
      <c r="E44" s="58" t="s">
        <v>23</v>
      </c>
      <c r="F44" s="60">
        <v>3706</v>
      </c>
      <c r="G44" s="60">
        <f>2987+233+69</f>
        <v>3289</v>
      </c>
      <c r="H44" s="60">
        <f>473+16+15</f>
        <v>504</v>
      </c>
      <c r="I44" s="60">
        <f>F44-(G44+H44)</f>
        <v>-87</v>
      </c>
      <c r="J44" s="61">
        <f t="shared" si="13"/>
        <v>-87</v>
      </c>
      <c r="K44" s="93" t="s">
        <v>105</v>
      </c>
      <c r="L44" s="62">
        <f t="shared" si="12"/>
        <v>0</v>
      </c>
      <c r="M44" s="63"/>
      <c r="N44" s="63"/>
      <c r="O44" s="69">
        <v>279.286</v>
      </c>
      <c r="P44" s="65">
        <f>O44*R2</f>
        <v>1455.08006</v>
      </c>
      <c r="Q44" s="66">
        <f t="shared" ref="Q44:Q53" si="14">L44-O44</f>
        <v>-279.286</v>
      </c>
      <c r="R44" s="66"/>
      <c r="S44" s="92">
        <f>Q44*R2</f>
        <v>-1455.08006</v>
      </c>
    </row>
    <row r="45" spans="1:19" ht="31.5" customHeight="1" x14ac:dyDescent="0.25">
      <c r="A45" s="57">
        <v>45748</v>
      </c>
      <c r="B45" s="58">
        <v>1929.3</v>
      </c>
      <c r="C45" s="58">
        <v>387.9</v>
      </c>
      <c r="D45" s="59" t="s">
        <v>55</v>
      </c>
      <c r="E45" s="58" t="s">
        <v>23</v>
      </c>
      <c r="F45" s="60">
        <v>3918</v>
      </c>
      <c r="G45" s="60">
        <f>2927+221+70</f>
        <v>3218</v>
      </c>
      <c r="H45" s="60">
        <f>605+16+15</f>
        <v>636</v>
      </c>
      <c r="I45" s="60">
        <f>F45-(G45+H45)</f>
        <v>64</v>
      </c>
      <c r="J45" s="61">
        <f t="shared" ref="J45:J53" si="15">I45+J44</f>
        <v>-23</v>
      </c>
      <c r="K45" s="93" t="s">
        <v>106</v>
      </c>
      <c r="L45" s="62">
        <f t="shared" si="12"/>
        <v>0</v>
      </c>
      <c r="M45" s="63"/>
      <c r="N45" s="63"/>
      <c r="O45" s="69">
        <v>279.286</v>
      </c>
      <c r="P45" s="65">
        <f>O45*R2</f>
        <v>1455.08006</v>
      </c>
      <c r="Q45" s="66">
        <f t="shared" si="14"/>
        <v>-279.286</v>
      </c>
      <c r="R45" s="66"/>
      <c r="S45" s="92">
        <f>Q45*R2</f>
        <v>-1455.08006</v>
      </c>
    </row>
    <row r="46" spans="1:19" ht="31.5" customHeight="1" x14ac:dyDescent="0.25">
      <c r="A46" s="57">
        <v>45778</v>
      </c>
      <c r="B46" s="58">
        <v>1929.3</v>
      </c>
      <c r="C46" s="58">
        <v>387.9</v>
      </c>
      <c r="D46" s="59" t="s">
        <v>55</v>
      </c>
      <c r="E46" s="58" t="s">
        <v>23</v>
      </c>
      <c r="F46" s="60">
        <v>3964</v>
      </c>
      <c r="G46" s="60">
        <f>3108+246+83</f>
        <v>3437</v>
      </c>
      <c r="H46" s="60">
        <f>547+16+15</f>
        <v>578</v>
      </c>
      <c r="I46" s="60">
        <f>F46-(G46+H46)</f>
        <v>-51</v>
      </c>
      <c r="J46" s="61">
        <f t="shared" si="15"/>
        <v>-74</v>
      </c>
      <c r="K46" s="93" t="s">
        <v>107</v>
      </c>
      <c r="L46" s="62">
        <f t="shared" si="12"/>
        <v>0</v>
      </c>
      <c r="M46" s="63"/>
      <c r="N46" s="63"/>
      <c r="O46" s="69">
        <v>279.286</v>
      </c>
      <c r="P46" s="65">
        <f>O46*R2</f>
        <v>1455.08006</v>
      </c>
      <c r="Q46" s="66">
        <f t="shared" si="14"/>
        <v>-279.286</v>
      </c>
      <c r="R46" s="66"/>
      <c r="S46" s="92">
        <f>Q46*R2</f>
        <v>-1455.08006</v>
      </c>
    </row>
    <row r="47" spans="1:19" ht="31.5" customHeight="1" x14ac:dyDescent="0.25">
      <c r="A47" s="57">
        <v>45809</v>
      </c>
      <c r="B47" s="58">
        <v>1929.3</v>
      </c>
      <c r="C47" s="58">
        <v>387.9</v>
      </c>
      <c r="D47" s="59" t="s">
        <v>55</v>
      </c>
      <c r="E47" s="58" t="s">
        <v>23</v>
      </c>
      <c r="F47" s="60">
        <v>4023</v>
      </c>
      <c r="G47" s="60">
        <f>4740+254+87</f>
        <v>5081</v>
      </c>
      <c r="H47" s="60">
        <f>602+16+15</f>
        <v>633</v>
      </c>
      <c r="I47" s="60">
        <f>F47-(G47+H47)</f>
        <v>-1691</v>
      </c>
      <c r="J47" s="61">
        <f t="shared" si="15"/>
        <v>-1765</v>
      </c>
      <c r="K47" s="93" t="s">
        <v>108</v>
      </c>
      <c r="L47" s="62">
        <f t="shared" si="12"/>
        <v>0</v>
      </c>
      <c r="M47" s="63"/>
      <c r="N47" s="63"/>
      <c r="O47" s="69">
        <v>279.286</v>
      </c>
      <c r="P47" s="65">
        <f>O47*R2</f>
        <v>1455.08006</v>
      </c>
      <c r="Q47" s="66">
        <f t="shared" si="14"/>
        <v>-279.286</v>
      </c>
      <c r="R47" s="66"/>
      <c r="S47" s="92">
        <f>Q47*R2</f>
        <v>-1455.08006</v>
      </c>
    </row>
    <row r="48" spans="1:19" ht="31.5" customHeight="1" x14ac:dyDescent="0.25">
      <c r="A48" s="57">
        <v>45839</v>
      </c>
      <c r="B48" s="58">
        <v>1929.3</v>
      </c>
      <c r="C48" s="58">
        <v>387.9</v>
      </c>
      <c r="D48" s="59" t="s">
        <v>55</v>
      </c>
      <c r="E48" s="58" t="s">
        <v>23</v>
      </c>
      <c r="F48" s="60">
        <v>3675</v>
      </c>
      <c r="G48" s="60">
        <f>3012+177+70</f>
        <v>3259</v>
      </c>
      <c r="H48" s="60">
        <f>505+16+15</f>
        <v>536</v>
      </c>
      <c r="I48" s="60">
        <f>F48-(G48+H48)</f>
        <v>-120</v>
      </c>
      <c r="J48" s="61">
        <f t="shared" si="15"/>
        <v>-1885</v>
      </c>
      <c r="K48" s="93" t="s">
        <v>109</v>
      </c>
      <c r="L48" s="62">
        <f t="shared" si="12"/>
        <v>0</v>
      </c>
      <c r="M48" s="63"/>
      <c r="N48" s="63"/>
      <c r="O48" s="69">
        <v>279.286</v>
      </c>
      <c r="P48" s="65">
        <f>O48*R3</f>
        <v>1636.6159600000001</v>
      </c>
      <c r="Q48" s="66">
        <f t="shared" si="14"/>
        <v>-279.286</v>
      </c>
      <c r="R48" s="66"/>
      <c r="S48" s="92">
        <f>Q48*R3</f>
        <v>-1636.6159600000001</v>
      </c>
    </row>
    <row r="49" spans="1:19" ht="31.5" customHeight="1" x14ac:dyDescent="0.25">
      <c r="A49" s="57">
        <v>45870</v>
      </c>
      <c r="B49" s="58">
        <v>1929.3</v>
      </c>
      <c r="C49" s="58">
        <v>387.9</v>
      </c>
      <c r="D49" s="59" t="s">
        <v>55</v>
      </c>
      <c r="E49" s="58" t="s">
        <v>23</v>
      </c>
      <c r="F49" s="60">
        <v>3887</v>
      </c>
      <c r="G49" s="60">
        <f>2771+228+113</f>
        <v>3112</v>
      </c>
      <c r="H49" s="60">
        <f>500+16+15</f>
        <v>531</v>
      </c>
      <c r="I49" s="60">
        <f t="shared" ref="I49:I51" si="16">F49-(G49+H49)</f>
        <v>244</v>
      </c>
      <c r="J49" s="61">
        <f t="shared" si="15"/>
        <v>-1641</v>
      </c>
      <c r="K49" s="93" t="s">
        <v>113</v>
      </c>
      <c r="L49" s="62">
        <f t="shared" si="12"/>
        <v>0</v>
      </c>
      <c r="M49" s="63"/>
      <c r="N49" s="63"/>
      <c r="O49" s="69">
        <v>279.286</v>
      </c>
      <c r="P49" s="65">
        <f>O49*R3</f>
        <v>1636.6159600000001</v>
      </c>
      <c r="Q49" s="66">
        <f t="shared" si="14"/>
        <v>-279.286</v>
      </c>
      <c r="R49" s="66"/>
      <c r="S49" s="92">
        <f>Q49*R3</f>
        <v>-1636.6159600000001</v>
      </c>
    </row>
    <row r="50" spans="1:19" ht="31.5" customHeight="1" x14ac:dyDescent="0.25">
      <c r="A50" s="57">
        <v>45901</v>
      </c>
      <c r="B50" s="58">
        <v>1929.3</v>
      </c>
      <c r="C50" s="58">
        <v>387.9</v>
      </c>
      <c r="D50" s="59" t="s">
        <v>55</v>
      </c>
      <c r="E50" s="58" t="s">
        <v>23</v>
      </c>
      <c r="F50" s="60">
        <v>4875</v>
      </c>
      <c r="G50" s="60">
        <f>3606+265+95</f>
        <v>3966</v>
      </c>
      <c r="H50" s="60">
        <f>860+16+15</f>
        <v>891</v>
      </c>
      <c r="I50" s="60">
        <f t="shared" si="16"/>
        <v>18</v>
      </c>
      <c r="J50" s="61">
        <f t="shared" si="15"/>
        <v>-1623</v>
      </c>
      <c r="K50" s="93" t="s">
        <v>110</v>
      </c>
      <c r="L50" s="62">
        <f t="shared" si="12"/>
        <v>0</v>
      </c>
      <c r="M50" s="63"/>
      <c r="N50" s="63"/>
      <c r="O50" s="69">
        <v>279.286</v>
      </c>
      <c r="P50" s="65">
        <f>O50*R3</f>
        <v>1636.6159600000001</v>
      </c>
      <c r="Q50" s="66">
        <f t="shared" si="14"/>
        <v>-279.286</v>
      </c>
      <c r="R50" s="66"/>
      <c r="S50" s="92">
        <f>Q50*R3</f>
        <v>-1636.6159600000001</v>
      </c>
    </row>
    <row r="51" spans="1:19" ht="31.5" customHeight="1" x14ac:dyDescent="0.25">
      <c r="A51" s="57">
        <v>45931</v>
      </c>
      <c r="B51" s="58">
        <v>1929.3</v>
      </c>
      <c r="C51" s="58">
        <v>387.9</v>
      </c>
      <c r="D51" s="59" t="s">
        <v>55</v>
      </c>
      <c r="E51" s="58" t="s">
        <v>23</v>
      </c>
      <c r="F51" s="60">
        <v>4873</v>
      </c>
      <c r="G51" s="60">
        <f>3261+364+153</f>
        <v>3778</v>
      </c>
      <c r="H51" s="60">
        <f>626+16+15</f>
        <v>657</v>
      </c>
      <c r="I51" s="60">
        <f t="shared" si="16"/>
        <v>438</v>
      </c>
      <c r="J51" s="61">
        <f t="shared" si="15"/>
        <v>-1185</v>
      </c>
      <c r="K51" s="93" t="s">
        <v>111</v>
      </c>
      <c r="L51" s="62">
        <f t="shared" si="12"/>
        <v>0</v>
      </c>
      <c r="M51" s="63"/>
      <c r="N51" s="63"/>
      <c r="O51" s="69">
        <v>279.286</v>
      </c>
      <c r="P51" s="65">
        <f>O51*R3</f>
        <v>1636.6159600000001</v>
      </c>
      <c r="Q51" s="66">
        <f t="shared" si="14"/>
        <v>-279.286</v>
      </c>
      <c r="R51" s="66"/>
      <c r="S51" s="92">
        <f>Q51*R3</f>
        <v>-1636.6159600000001</v>
      </c>
    </row>
    <row r="52" spans="1:19" ht="31.5" customHeight="1" x14ac:dyDescent="0.25">
      <c r="A52" s="57">
        <v>45962</v>
      </c>
      <c r="B52" s="58">
        <v>1929.3</v>
      </c>
      <c r="C52" s="58">
        <v>387.9</v>
      </c>
      <c r="D52" s="59" t="s">
        <v>55</v>
      </c>
      <c r="E52" s="58" t="s">
        <v>23</v>
      </c>
      <c r="F52" s="60">
        <v>4085</v>
      </c>
      <c r="G52" s="60">
        <f>3581+263+78</f>
        <v>3922</v>
      </c>
      <c r="H52" s="60">
        <f>555+16+15</f>
        <v>586</v>
      </c>
      <c r="I52" s="60">
        <f>F52-(G52+H52)</f>
        <v>-423</v>
      </c>
      <c r="J52" s="61">
        <f t="shared" si="15"/>
        <v>-1608</v>
      </c>
      <c r="K52" s="93" t="s">
        <v>114</v>
      </c>
      <c r="L52" s="62">
        <f t="shared" si="12"/>
        <v>0</v>
      </c>
      <c r="M52" s="63"/>
      <c r="N52" s="63"/>
      <c r="O52" s="69">
        <v>279.286</v>
      </c>
      <c r="P52" s="65">
        <f>O52*R3</f>
        <v>1636.6159600000001</v>
      </c>
      <c r="Q52" s="66">
        <f t="shared" si="14"/>
        <v>-279.286</v>
      </c>
      <c r="R52" s="66"/>
      <c r="S52" s="92">
        <f>Q52*R3</f>
        <v>-1636.6159600000001</v>
      </c>
    </row>
    <row r="53" spans="1:19" ht="31.5" customHeight="1" x14ac:dyDescent="0.25">
      <c r="A53" s="57">
        <v>45992</v>
      </c>
      <c r="B53" s="58">
        <v>1929.3</v>
      </c>
      <c r="C53" s="58">
        <v>387.9</v>
      </c>
      <c r="D53" s="59" t="s">
        <v>55</v>
      </c>
      <c r="E53" s="58" t="s">
        <v>23</v>
      </c>
      <c r="F53" s="60">
        <v>3760</v>
      </c>
      <c r="G53" s="60">
        <f>2407+254+74</f>
        <v>2735</v>
      </c>
      <c r="H53" s="60">
        <f>521+16+15</f>
        <v>552</v>
      </c>
      <c r="I53" s="60">
        <f t="shared" ref="I53" si="17">F53-(G53+H53)</f>
        <v>473</v>
      </c>
      <c r="J53" s="61">
        <f t="shared" si="15"/>
        <v>-1135</v>
      </c>
      <c r="K53" s="81" t="s">
        <v>112</v>
      </c>
      <c r="L53" s="62">
        <f t="shared" si="12"/>
        <v>0</v>
      </c>
      <c r="M53" s="63"/>
      <c r="N53" s="63"/>
      <c r="O53" s="69">
        <v>279.286</v>
      </c>
      <c r="P53" s="65">
        <f>O53*R3</f>
        <v>1636.6159600000001</v>
      </c>
      <c r="Q53" s="66">
        <f t="shared" si="14"/>
        <v>-279.286</v>
      </c>
      <c r="R53" s="66"/>
      <c r="S53" s="92">
        <f>Q53*R3</f>
        <v>-1636.6159600000001</v>
      </c>
    </row>
    <row r="54" spans="1:19" s="20" customFormat="1" ht="31.5" customHeight="1" x14ac:dyDescent="0.25">
      <c r="A54" s="75"/>
      <c r="L54" s="86">
        <f>SUM(L42:L53)</f>
        <v>760</v>
      </c>
      <c r="O54" s="20">
        <f>SUM(O42:O53)</f>
        <v>3351.4320000000002</v>
      </c>
      <c r="P54" s="20">
        <f>SUM(P42:P53)</f>
        <v>18550.176119999996</v>
      </c>
      <c r="Q54" s="95" t="s">
        <v>116</v>
      </c>
      <c r="R54" s="95">
        <f>SUM(Q42:R47)</f>
        <v>-915.71600000000012</v>
      </c>
      <c r="S54" s="96">
        <f>SUM(S42:S47)</f>
        <v>-4770.8803600000001</v>
      </c>
    </row>
    <row r="55" spans="1:19" s="20" customFormat="1" ht="31.5" customHeight="1" x14ac:dyDescent="0.25">
      <c r="A55" s="75"/>
      <c r="L55"/>
      <c r="Q55" s="97" t="s">
        <v>117</v>
      </c>
      <c r="R55" s="95">
        <f>SUM(Q48:R53)</f>
        <v>-1675.7160000000001</v>
      </c>
      <c r="S55" s="96">
        <f>SUM(S48:S53)</f>
        <v>-9819.6957600000005</v>
      </c>
    </row>
    <row r="56" spans="1:19" x14ac:dyDescent="0.25">
      <c r="K56" s="90"/>
      <c r="Q56" s="97"/>
      <c r="R56" s="97"/>
      <c r="S56" s="97"/>
    </row>
    <row r="57" spans="1:19" x14ac:dyDescent="0.25">
      <c r="K57" s="90"/>
      <c r="Q57" s="97"/>
      <c r="R57" s="95">
        <f>R54+R55</f>
        <v>-2591.4320000000002</v>
      </c>
      <c r="S57" s="96">
        <f>S54+S55</f>
        <v>-14590.576120000002</v>
      </c>
    </row>
    <row r="58" spans="1:19" x14ac:dyDescent="0.25">
      <c r="K58" s="90"/>
    </row>
    <row r="59" spans="1:19" x14ac:dyDescent="0.25">
      <c r="K59" s="90"/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1" x14ac:dyDescent="0.25">
      <c r="K65" s="90"/>
    </row>
    <row r="66" spans="11:11" x14ac:dyDescent="0.25">
      <c r="K66" s="90"/>
    </row>
    <row r="94" spans="17:19" x14ac:dyDescent="0.25">
      <c r="Q94" s="97" t="s">
        <v>116</v>
      </c>
      <c r="R94" s="97"/>
      <c r="S94" s="97">
        <f>SUM(S70:S81)</f>
        <v>0</v>
      </c>
    </row>
    <row r="95" spans="17:19" x14ac:dyDescent="0.25">
      <c r="Q95" s="97" t="s">
        <v>117</v>
      </c>
      <c r="R95" s="97"/>
      <c r="S95" s="97">
        <f>SUM(S82:S93)</f>
        <v>0</v>
      </c>
    </row>
    <row r="96" spans="17:19" x14ac:dyDescent="0.25">
      <c r="Q96" s="97"/>
      <c r="R96" s="97"/>
      <c r="S96" s="97"/>
    </row>
    <row r="97" spans="17:19" x14ac:dyDescent="0.25">
      <c r="Q97" s="97"/>
      <c r="R97" s="97"/>
      <c r="S97" s="97">
        <f>S94+S95</f>
        <v>0</v>
      </c>
    </row>
  </sheetData>
  <sheetProtection algorithmName="SHA-512" hashValue="sWacwDlCqMCwJbJHL5ktx6R6S3eVPKF4yZquWc8gKtzXeIIK4BEqwk05KBS/427ELoNCZBPdwXKPIYbn/Yb98A==" saltValue="fyxPi3Ffl8IjXb9H8Z6ZsA==" spinCount="100000" sheet="1" objects="1" scenarios="1" selectLockedCells="1" selectUnlockedCells="1"/>
  <mergeCells count="23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P2:P3"/>
    <mergeCell ref="S4:S5"/>
    <mergeCell ref="M4:M5"/>
    <mergeCell ref="G2:K2"/>
    <mergeCell ref="G3:K3"/>
    <mergeCell ref="J4:J5"/>
    <mergeCell ref="N4:N5"/>
    <mergeCell ref="S2:S3"/>
  </mergeCells>
  <pageMargins left="0.25" right="0.25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zoomScale="70" zoomScaleNormal="70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24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72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5">
        <v>19</v>
      </c>
    </row>
    <row r="7" spans="1:19" ht="39.75" hidden="1" customHeight="1" x14ac:dyDescent="0.25">
      <c r="A7" s="18">
        <v>44805</v>
      </c>
      <c r="B7" s="10">
        <v>2784.8</v>
      </c>
      <c r="C7" s="10">
        <v>1063.0999999999999</v>
      </c>
      <c r="D7" s="19" t="s">
        <v>18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840</v>
      </c>
      <c r="M7" s="10"/>
      <c r="N7" s="10"/>
      <c r="O7" s="45">
        <v>839.84799999999996</v>
      </c>
      <c r="P7" s="36">
        <f>O7*M2</f>
        <v>3695.3312000000001</v>
      </c>
      <c r="Q7" s="45"/>
      <c r="R7" s="45"/>
      <c r="S7" s="16">
        <v>0</v>
      </c>
    </row>
    <row r="8" spans="1:19" ht="39.75" hidden="1" customHeight="1" x14ac:dyDescent="0.25">
      <c r="A8" s="18">
        <v>44835</v>
      </c>
      <c r="B8" s="10">
        <v>2784.8</v>
      </c>
      <c r="C8" s="10">
        <v>1063.0999999999999</v>
      </c>
      <c r="D8" s="19" t="s">
        <v>18</v>
      </c>
      <c r="E8" s="10" t="s">
        <v>23</v>
      </c>
      <c r="F8" s="11">
        <v>4227.88</v>
      </c>
      <c r="G8" s="11">
        <f>5469+42+27</f>
        <v>5538</v>
      </c>
      <c r="H8" s="11">
        <f>40+14+15</f>
        <v>69</v>
      </c>
      <c r="I8" s="11">
        <f>F8-(G8+H8)</f>
        <v>-1379.12</v>
      </c>
      <c r="J8" s="24">
        <f>I8</f>
        <v>-1379.12</v>
      </c>
      <c r="K8" s="27" t="s">
        <v>64</v>
      </c>
      <c r="L8" s="34">
        <v>0</v>
      </c>
      <c r="M8" s="29"/>
      <c r="N8" s="29"/>
      <c r="O8" s="45">
        <v>839.84799999999996</v>
      </c>
      <c r="P8" s="36">
        <f>O8*M2</f>
        <v>3695.3312000000001</v>
      </c>
      <c r="Q8" s="47">
        <f>O8</f>
        <v>839.84799999999996</v>
      </c>
      <c r="R8" s="47"/>
      <c r="S8" s="16">
        <f>-(Q8*M2)</f>
        <v>-3695.3312000000001</v>
      </c>
    </row>
    <row r="9" spans="1:19" ht="39.75" hidden="1" customHeight="1" x14ac:dyDescent="0.25">
      <c r="A9" s="18">
        <v>44866</v>
      </c>
      <c r="B9" s="10">
        <v>2784.8</v>
      </c>
      <c r="C9" s="10">
        <v>1063.0999999999999</v>
      </c>
      <c r="D9" s="19" t="s">
        <v>18</v>
      </c>
      <c r="E9" s="10" t="s">
        <v>23</v>
      </c>
      <c r="F9" s="6">
        <v>7319.08</v>
      </c>
      <c r="G9" s="6">
        <f>5274+108+40</f>
        <v>5422</v>
      </c>
      <c r="H9" s="6">
        <f>50+14+15</f>
        <v>79</v>
      </c>
      <c r="I9" s="11">
        <f>F9-(G9+H9)</f>
        <v>1818.08</v>
      </c>
      <c r="J9" s="24">
        <v>439</v>
      </c>
      <c r="K9" s="27" t="s">
        <v>66</v>
      </c>
      <c r="L9" s="34">
        <v>439</v>
      </c>
      <c r="M9" s="28"/>
      <c r="N9" s="28"/>
      <c r="O9" s="45">
        <v>839.84799999999996</v>
      </c>
      <c r="P9" s="36">
        <f>O9*M2</f>
        <v>3695.3312000000001</v>
      </c>
      <c r="Q9" s="47">
        <f>J9-O9</f>
        <v>-400.84799999999996</v>
      </c>
      <c r="R9" s="47"/>
      <c r="S9" s="16">
        <f>-(Q9*M2)</f>
        <v>1763.7311999999999</v>
      </c>
    </row>
    <row r="10" spans="1:19" ht="39.75" hidden="1" customHeight="1" x14ac:dyDescent="0.25">
      <c r="A10" s="18">
        <v>44896</v>
      </c>
      <c r="B10" s="4">
        <v>2784.8</v>
      </c>
      <c r="C10" s="4">
        <v>1063.0999999999999</v>
      </c>
      <c r="D10" s="19" t="s">
        <v>18</v>
      </c>
      <c r="E10" s="4" t="s">
        <v>23</v>
      </c>
      <c r="F10" s="6"/>
      <c r="G10" s="6"/>
      <c r="H10" s="6"/>
      <c r="I10" s="6">
        <f t="shared" ref="I10" si="0">F10-(G10+H10)</f>
        <v>0</v>
      </c>
      <c r="J10" s="24">
        <f>I10</f>
        <v>0</v>
      </c>
      <c r="K10" s="27" t="s">
        <v>67</v>
      </c>
      <c r="L10" s="40">
        <f>I10</f>
        <v>0</v>
      </c>
      <c r="M10" s="39">
        <f>R10/C10</f>
        <v>-0.78999905935471737</v>
      </c>
      <c r="N10" s="39">
        <f>M10*M3</f>
        <v>-3.7840954943090961</v>
      </c>
      <c r="O10" s="46">
        <v>839.84799999999996</v>
      </c>
      <c r="P10" s="38">
        <f>O10*M3</f>
        <v>4022.87192</v>
      </c>
      <c r="Q10" s="47"/>
      <c r="R10" s="47">
        <f>J10-O10</f>
        <v>-839.84799999999996</v>
      </c>
      <c r="S10" s="16">
        <f>R10*M3</f>
        <v>-4022.87192</v>
      </c>
    </row>
    <row r="11" spans="1:19" ht="31.5" hidden="1" customHeight="1" x14ac:dyDescent="0.25">
      <c r="A11" s="57">
        <v>44927</v>
      </c>
      <c r="B11" s="58">
        <v>2784.8</v>
      </c>
      <c r="C11" s="58">
        <v>1063.0999999999999</v>
      </c>
      <c r="D11" s="59" t="s">
        <v>18</v>
      </c>
      <c r="E11" s="58" t="s">
        <v>23</v>
      </c>
      <c r="F11" s="60">
        <f>6633.64</f>
        <v>6633.64</v>
      </c>
      <c r="G11" s="60">
        <f>5335+187+62</f>
        <v>5584</v>
      </c>
      <c r="H11" s="60">
        <f>40+14+15</f>
        <v>69</v>
      </c>
      <c r="I11" s="60">
        <f t="shared" ref="I11" si="1">F11-(G11+H11)</f>
        <v>980.64000000000033</v>
      </c>
      <c r="J11" s="61">
        <f>I11</f>
        <v>980.64000000000033</v>
      </c>
      <c r="K11" s="80" t="s">
        <v>76</v>
      </c>
      <c r="L11" s="62">
        <f>IF(J11&lt;0,0,I11)</f>
        <v>980.64000000000033</v>
      </c>
      <c r="M11" s="63"/>
      <c r="N11" s="63"/>
      <c r="O11" s="64">
        <v>839.84799999999996</v>
      </c>
      <c r="P11" s="65">
        <f>O11*M3</f>
        <v>4022.87192</v>
      </c>
      <c r="Q11" s="66"/>
      <c r="R11" s="66">
        <f>L11-O11</f>
        <v>140.79200000000037</v>
      </c>
      <c r="S11" s="67">
        <f>R11*M3</f>
        <v>674.39368000000184</v>
      </c>
    </row>
    <row r="12" spans="1:19" ht="31.5" hidden="1" customHeight="1" x14ac:dyDescent="0.25">
      <c r="A12" s="57">
        <v>44958</v>
      </c>
      <c r="B12" s="58">
        <v>2784.8</v>
      </c>
      <c r="C12" s="58">
        <v>1063.0999999999999</v>
      </c>
      <c r="D12" s="59" t="s">
        <v>18</v>
      </c>
      <c r="E12" s="58" t="s">
        <v>23</v>
      </c>
      <c r="F12" s="60">
        <v>4459.32</v>
      </c>
      <c r="G12" s="60">
        <f>5319+16+4</f>
        <v>5339</v>
      </c>
      <c r="H12" s="60">
        <f>50+14+15</f>
        <v>79</v>
      </c>
      <c r="I12" s="60">
        <f t="shared" ref="I12:I22" si="2">F12-(G12+H12)</f>
        <v>-958.68000000000029</v>
      </c>
      <c r="J12" s="61">
        <f t="shared" ref="J12:J22" si="3">I12</f>
        <v>-958.68000000000029</v>
      </c>
      <c r="K12" s="80"/>
      <c r="L12" s="62">
        <f t="shared" ref="L12:L22" si="4">IF(J12&lt;0,0,I12)</f>
        <v>0</v>
      </c>
      <c r="M12" s="63"/>
      <c r="N12" s="63"/>
      <c r="O12" s="64">
        <v>839.84799999999996</v>
      </c>
      <c r="P12" s="65">
        <f>O12*M3</f>
        <v>4022.87192</v>
      </c>
      <c r="Q12" s="66">
        <f>-O12</f>
        <v>-839.84799999999996</v>
      </c>
      <c r="R12" s="66"/>
      <c r="S12" s="67">
        <f>Q12*M3</f>
        <v>-4022.87192</v>
      </c>
    </row>
    <row r="13" spans="1:19" ht="31.5" hidden="1" customHeight="1" x14ac:dyDescent="0.25">
      <c r="A13" s="57">
        <v>44986</v>
      </c>
      <c r="B13" s="58">
        <v>2784.8</v>
      </c>
      <c r="C13" s="58">
        <v>1063.0999999999999</v>
      </c>
      <c r="D13" s="59" t="s">
        <v>18</v>
      </c>
      <c r="E13" s="58" t="s">
        <v>23</v>
      </c>
      <c r="F13" s="60">
        <v>6776.64</v>
      </c>
      <c r="G13" s="60">
        <f>5329+113+39</f>
        <v>5481</v>
      </c>
      <c r="H13" s="60">
        <f>50+14+15</f>
        <v>79</v>
      </c>
      <c r="I13" s="60">
        <f t="shared" si="2"/>
        <v>1216.6400000000003</v>
      </c>
      <c r="J13" s="61">
        <f>I13+J12</f>
        <v>257.96000000000004</v>
      </c>
      <c r="K13" s="80" t="s">
        <v>77</v>
      </c>
      <c r="L13" s="62">
        <f>J13</f>
        <v>257.96000000000004</v>
      </c>
      <c r="M13" s="63"/>
      <c r="N13" s="63"/>
      <c r="O13" s="64">
        <v>839.84799999999996</v>
      </c>
      <c r="P13" s="65">
        <f>O13*M3</f>
        <v>4022.87192</v>
      </c>
      <c r="Q13" s="66">
        <f>-O13+L13</f>
        <v>-581.88799999999992</v>
      </c>
      <c r="R13" s="66"/>
      <c r="S13" s="67">
        <f>Q13*M3</f>
        <v>-2787.2435199999995</v>
      </c>
    </row>
    <row r="14" spans="1:19" ht="31.5" hidden="1" customHeight="1" x14ac:dyDescent="0.25">
      <c r="A14" s="57">
        <v>45017</v>
      </c>
      <c r="B14" s="58">
        <v>2784.8</v>
      </c>
      <c r="C14" s="58">
        <v>1063.0999999999999</v>
      </c>
      <c r="D14" s="59" t="s">
        <v>18</v>
      </c>
      <c r="E14" s="58" t="s">
        <v>23</v>
      </c>
      <c r="F14" s="60">
        <v>5317.96</v>
      </c>
      <c r="G14" s="60">
        <f>4539+80+36</f>
        <v>4655</v>
      </c>
      <c r="H14" s="60">
        <f>50+14+15</f>
        <v>79</v>
      </c>
      <c r="I14" s="60">
        <f t="shared" si="2"/>
        <v>583.96</v>
      </c>
      <c r="J14" s="61">
        <f t="shared" si="3"/>
        <v>583.96</v>
      </c>
      <c r="K14" s="80" t="s">
        <v>78</v>
      </c>
      <c r="L14" s="62">
        <f t="shared" si="4"/>
        <v>583.96</v>
      </c>
      <c r="M14" s="63"/>
      <c r="N14" s="63"/>
      <c r="O14" s="64">
        <v>839.84799999999996</v>
      </c>
      <c r="P14" s="65">
        <f>O14*M3</f>
        <v>4022.87192</v>
      </c>
      <c r="Q14" s="66">
        <f>-O14+L14</f>
        <v>-255.88799999999992</v>
      </c>
      <c r="R14" s="66"/>
      <c r="S14" s="67">
        <f>Q14*M3</f>
        <v>-1225.7035199999996</v>
      </c>
    </row>
    <row r="15" spans="1:19" ht="31.5" hidden="1" customHeight="1" x14ac:dyDescent="0.25">
      <c r="A15" s="57">
        <v>45047</v>
      </c>
      <c r="B15" s="58">
        <v>2784.8</v>
      </c>
      <c r="C15" s="58">
        <v>1063.0999999999999</v>
      </c>
      <c r="D15" s="59" t="s">
        <v>18</v>
      </c>
      <c r="E15" s="58" t="s">
        <v>23</v>
      </c>
      <c r="F15" s="60">
        <v>6072</v>
      </c>
      <c r="G15" s="60">
        <f>6219+164+63</f>
        <v>6446</v>
      </c>
      <c r="H15" s="60">
        <f>50+14+15</f>
        <v>79</v>
      </c>
      <c r="I15" s="60">
        <f t="shared" si="2"/>
        <v>-453</v>
      </c>
      <c r="J15" s="61">
        <f t="shared" si="3"/>
        <v>-453</v>
      </c>
      <c r="K15" s="80" t="s">
        <v>79</v>
      </c>
      <c r="L15" s="62">
        <f t="shared" si="4"/>
        <v>0</v>
      </c>
      <c r="M15" s="63"/>
      <c r="N15" s="63"/>
      <c r="O15" s="64">
        <v>839.84799999999996</v>
      </c>
      <c r="P15" s="65">
        <f>O15*M3</f>
        <v>4022.87192</v>
      </c>
      <c r="Q15" s="66">
        <f t="shared" ref="Q15" si="5">-O15</f>
        <v>-839.84799999999996</v>
      </c>
      <c r="R15" s="66"/>
      <c r="S15" s="67">
        <f>Q15*M3</f>
        <v>-4022.87192</v>
      </c>
    </row>
    <row r="16" spans="1:19" ht="31.5" hidden="1" customHeight="1" x14ac:dyDescent="0.25">
      <c r="A16" s="57">
        <v>45078</v>
      </c>
      <c r="B16" s="58">
        <v>2784.8</v>
      </c>
      <c r="C16" s="58">
        <v>1063.0999999999999</v>
      </c>
      <c r="D16" s="59" t="s">
        <v>18</v>
      </c>
      <c r="E16" s="58" t="s">
        <v>23</v>
      </c>
      <c r="F16" s="60">
        <v>5961.76</v>
      </c>
      <c r="G16" s="60">
        <f>4606+50+20</f>
        <v>4676</v>
      </c>
      <c r="H16" s="60">
        <f t="shared" ref="H16:H18" si="6">50+14+15</f>
        <v>79</v>
      </c>
      <c r="I16" s="60">
        <f t="shared" si="2"/>
        <v>1206.7600000000002</v>
      </c>
      <c r="J16" s="61">
        <f>I16+J15</f>
        <v>753.76000000000022</v>
      </c>
      <c r="K16" s="80" t="s">
        <v>80</v>
      </c>
      <c r="L16" s="62">
        <f>J16</f>
        <v>753.76000000000022</v>
      </c>
      <c r="M16" s="63"/>
      <c r="N16" s="63"/>
      <c r="O16" s="64">
        <v>839.84799999999996</v>
      </c>
      <c r="P16" s="65">
        <f>O16*M3</f>
        <v>4022.87192</v>
      </c>
      <c r="Q16" s="66">
        <f>-O16+L16</f>
        <v>-86.087999999999738</v>
      </c>
      <c r="R16" s="66"/>
      <c r="S16" s="67">
        <f>Q16*M3</f>
        <v>-412.36151999999873</v>
      </c>
    </row>
    <row r="17" spans="1:19" ht="31.5" hidden="1" customHeight="1" x14ac:dyDescent="0.25">
      <c r="A17" s="57">
        <v>45108</v>
      </c>
      <c r="B17" s="58">
        <v>2784.8</v>
      </c>
      <c r="C17" s="58">
        <v>1063.0999999999999</v>
      </c>
      <c r="D17" s="59" t="s">
        <v>18</v>
      </c>
      <c r="E17" s="58" t="s">
        <v>23</v>
      </c>
      <c r="F17" s="60">
        <v>4357.32</v>
      </c>
      <c r="G17" s="60">
        <f>4107+102+38</f>
        <v>4247</v>
      </c>
      <c r="H17" s="60">
        <f t="shared" si="6"/>
        <v>79</v>
      </c>
      <c r="I17" s="60">
        <f t="shared" si="2"/>
        <v>31.319999999999709</v>
      </c>
      <c r="J17" s="61">
        <f t="shared" si="3"/>
        <v>31.319999999999709</v>
      </c>
      <c r="K17" s="80" t="s">
        <v>81</v>
      </c>
      <c r="L17" s="62">
        <f t="shared" si="4"/>
        <v>31.319999999999709</v>
      </c>
      <c r="M17" s="63"/>
      <c r="N17" s="63"/>
      <c r="O17" s="64">
        <v>839.84799999999996</v>
      </c>
      <c r="P17" s="65">
        <f>O17*M3</f>
        <v>4022.87192</v>
      </c>
      <c r="Q17" s="66">
        <f>-O17+L17</f>
        <v>-808.52800000000025</v>
      </c>
      <c r="R17" s="66"/>
      <c r="S17" s="67">
        <f>Q17*M3</f>
        <v>-3872.8491200000012</v>
      </c>
    </row>
    <row r="18" spans="1:19" ht="31.5" hidden="1" customHeight="1" x14ac:dyDescent="0.25">
      <c r="A18" s="57">
        <v>45139</v>
      </c>
      <c r="B18" s="58">
        <v>2784.8</v>
      </c>
      <c r="C18" s="58">
        <v>1063.0999999999999</v>
      </c>
      <c r="D18" s="59" t="s">
        <v>18</v>
      </c>
      <c r="E18" s="58" t="s">
        <v>23</v>
      </c>
      <c r="F18" s="60">
        <v>5287.48</v>
      </c>
      <c r="G18" s="60">
        <f>4389+99+39</f>
        <v>4527</v>
      </c>
      <c r="H18" s="60">
        <f t="shared" si="6"/>
        <v>79</v>
      </c>
      <c r="I18" s="60">
        <f t="shared" si="2"/>
        <v>681.47999999999956</v>
      </c>
      <c r="J18" s="61">
        <f t="shared" si="3"/>
        <v>681.47999999999956</v>
      </c>
      <c r="K18" s="80" t="s">
        <v>82</v>
      </c>
      <c r="L18" s="62">
        <f t="shared" si="4"/>
        <v>681.47999999999956</v>
      </c>
      <c r="M18" s="63"/>
      <c r="N18" s="63"/>
      <c r="O18" s="64">
        <v>839.84799999999996</v>
      </c>
      <c r="P18" s="65">
        <f>O18*M3</f>
        <v>4022.87192</v>
      </c>
      <c r="Q18" s="66">
        <f>-O18+L18</f>
        <v>-158.36800000000039</v>
      </c>
      <c r="R18" s="66"/>
      <c r="S18" s="67">
        <f>Q18*M3</f>
        <v>-758.58272000000193</v>
      </c>
    </row>
    <row r="19" spans="1:19" ht="31.5" hidden="1" customHeight="1" x14ac:dyDescent="0.25">
      <c r="A19" s="57">
        <v>45170</v>
      </c>
      <c r="B19" s="58">
        <v>2784.8</v>
      </c>
      <c r="C19" s="58">
        <v>1063.0999999999999</v>
      </c>
      <c r="D19" s="59" t="s">
        <v>18</v>
      </c>
      <c r="E19" s="58" t="s">
        <v>23</v>
      </c>
      <c r="F19" s="60">
        <v>5135.84</v>
      </c>
      <c r="G19" s="60">
        <f>4672+49+44</f>
        <v>4765</v>
      </c>
      <c r="H19" s="60">
        <f>40+14+15</f>
        <v>69</v>
      </c>
      <c r="I19" s="60">
        <f t="shared" si="2"/>
        <v>301.84000000000015</v>
      </c>
      <c r="J19" s="61">
        <f t="shared" si="3"/>
        <v>301.84000000000015</v>
      </c>
      <c r="K19" s="80" t="s">
        <v>83</v>
      </c>
      <c r="L19" s="62">
        <f t="shared" si="4"/>
        <v>301.84000000000015</v>
      </c>
      <c r="M19" s="63"/>
      <c r="N19" s="63"/>
      <c r="O19" s="64">
        <v>839.84799999999996</v>
      </c>
      <c r="P19" s="65">
        <f>O19*M3</f>
        <v>4022.87192</v>
      </c>
      <c r="Q19" s="66">
        <f>-O19+L19</f>
        <v>-538.00799999999981</v>
      </c>
      <c r="R19" s="66"/>
      <c r="S19" s="67">
        <f>Q19*M3</f>
        <v>-2577.0583199999992</v>
      </c>
    </row>
    <row r="20" spans="1:19" ht="31.5" hidden="1" customHeight="1" x14ac:dyDescent="0.25">
      <c r="A20" s="57">
        <v>45200</v>
      </c>
      <c r="B20" s="58">
        <v>2784.8</v>
      </c>
      <c r="C20" s="58">
        <v>1063.0999999999999</v>
      </c>
      <c r="D20" s="59" t="s">
        <v>18</v>
      </c>
      <c r="E20" s="58" t="s">
        <v>23</v>
      </c>
      <c r="F20" s="60">
        <v>5913.52</v>
      </c>
      <c r="G20" s="60">
        <f>4728+159+39</f>
        <v>4926</v>
      </c>
      <c r="H20" s="60">
        <f t="shared" ref="H20" si="7">40+14+15</f>
        <v>69</v>
      </c>
      <c r="I20" s="60">
        <f t="shared" si="2"/>
        <v>918.52000000000044</v>
      </c>
      <c r="J20" s="61">
        <f t="shared" si="3"/>
        <v>918.52000000000044</v>
      </c>
      <c r="K20" s="80" t="s">
        <v>84</v>
      </c>
      <c r="L20" s="62">
        <f t="shared" si="4"/>
        <v>918.52000000000044</v>
      </c>
      <c r="M20" s="63"/>
      <c r="N20" s="63"/>
      <c r="O20" s="64">
        <v>839.84799999999996</v>
      </c>
      <c r="P20" s="65">
        <f>O20*M3</f>
        <v>4022.87192</v>
      </c>
      <c r="Q20" s="66"/>
      <c r="R20" s="66">
        <f>L20-O20</f>
        <v>78.67200000000048</v>
      </c>
      <c r="S20" s="67">
        <f>S17+S18</f>
        <v>-4631.4318400000029</v>
      </c>
    </row>
    <row r="21" spans="1:19" ht="31.5" hidden="1" customHeight="1" x14ac:dyDescent="0.25">
      <c r="A21" s="57">
        <v>45231</v>
      </c>
      <c r="B21" s="58">
        <v>2784.8</v>
      </c>
      <c r="C21" s="58">
        <v>1063.0999999999999</v>
      </c>
      <c r="D21" s="59" t="s">
        <v>18</v>
      </c>
      <c r="E21" s="58" t="s">
        <v>23</v>
      </c>
      <c r="F21" s="60">
        <v>5980.44</v>
      </c>
      <c r="G21" s="60">
        <f>5003+108+39</f>
        <v>5150</v>
      </c>
      <c r="H21" s="60">
        <f>50+14+15</f>
        <v>79</v>
      </c>
      <c r="I21" s="60">
        <f t="shared" si="2"/>
        <v>751.4399999999996</v>
      </c>
      <c r="J21" s="61">
        <f t="shared" si="3"/>
        <v>751.4399999999996</v>
      </c>
      <c r="K21" s="80" t="s">
        <v>85</v>
      </c>
      <c r="L21" s="62">
        <f t="shared" si="4"/>
        <v>751.4399999999996</v>
      </c>
      <c r="M21" s="63"/>
      <c r="N21" s="63"/>
      <c r="O21" s="64">
        <v>839.84799999999996</v>
      </c>
      <c r="P21" s="65">
        <f>O21*M3</f>
        <v>4022.87192</v>
      </c>
      <c r="Q21" s="66">
        <f>-O21+L21</f>
        <v>-88.408000000000357</v>
      </c>
      <c r="R21" s="66"/>
      <c r="S21" s="67">
        <f>Q21*M3</f>
        <v>-423.47432000000168</v>
      </c>
    </row>
    <row r="22" spans="1:19" ht="31.5" hidden="1" customHeight="1" x14ac:dyDescent="0.25">
      <c r="A22" s="57">
        <v>45261</v>
      </c>
      <c r="B22" s="58">
        <v>2784.8</v>
      </c>
      <c r="C22" s="58">
        <v>1063.0999999999999</v>
      </c>
      <c r="D22" s="59" t="s">
        <v>18</v>
      </c>
      <c r="E22" s="58" t="s">
        <v>23</v>
      </c>
      <c r="F22" s="60">
        <v>5813.72</v>
      </c>
      <c r="G22" s="60">
        <f>4522+108+41</f>
        <v>4671</v>
      </c>
      <c r="H22" s="60">
        <f>50+14+15</f>
        <v>79</v>
      </c>
      <c r="I22" s="60">
        <f t="shared" si="2"/>
        <v>1063.7200000000003</v>
      </c>
      <c r="J22" s="61">
        <f t="shared" si="3"/>
        <v>1063.7200000000003</v>
      </c>
      <c r="K22" s="81" t="s">
        <v>86</v>
      </c>
      <c r="L22" s="62">
        <f t="shared" si="4"/>
        <v>1063.7200000000003</v>
      </c>
      <c r="M22" s="63"/>
      <c r="N22" s="63"/>
      <c r="O22" s="64">
        <v>839.84799999999996</v>
      </c>
      <c r="P22" s="65">
        <f>O22*M3</f>
        <v>4022.87192</v>
      </c>
      <c r="Q22" s="66"/>
      <c r="R22" s="66">
        <f>L22-O22</f>
        <v>223.8720000000003</v>
      </c>
      <c r="S22" s="67">
        <f>R22*M3</f>
        <v>1072.3468800000014</v>
      </c>
    </row>
    <row r="23" spans="1:19" s="20" customFormat="1" ht="31.5" hidden="1" customHeight="1" x14ac:dyDescent="0.25">
      <c r="A23" s="75"/>
      <c r="B23" s="76"/>
      <c r="C23" s="76"/>
      <c r="L23" s="20">
        <f>SUM(L11:L22)</f>
        <v>6324.64</v>
      </c>
      <c r="O23" s="20">
        <f>SUM(O11:O22)</f>
        <v>10078.175999999999</v>
      </c>
      <c r="P23" s="20">
        <f>SUM(P11:P22)</f>
        <v>48274.463039999995</v>
      </c>
      <c r="R23" s="20">
        <f>SUM(Q11:R22)</f>
        <v>-3753.5359999999991</v>
      </c>
      <c r="S23" s="20">
        <f>SUM(S11:S22)</f>
        <v>-22987.708159999998</v>
      </c>
    </row>
    <row r="24" spans="1:19" s="20" customFormat="1" ht="31.5" hidden="1" customHeight="1" x14ac:dyDescent="0.25">
      <c r="A24" s="75"/>
      <c r="L24" s="20">
        <f>L23*M3</f>
        <v>30295.025600000001</v>
      </c>
    </row>
    <row r="25" spans="1:19" s="20" customFormat="1" ht="31.5" hidden="1" customHeight="1" x14ac:dyDescent="0.25">
      <c r="A25" s="75"/>
    </row>
    <row r="26" spans="1:19" ht="31.5" hidden="1" customHeight="1" x14ac:dyDescent="0.25">
      <c r="A26" s="57">
        <v>45292</v>
      </c>
      <c r="B26" s="58">
        <v>2784.8</v>
      </c>
      <c r="C26" s="58">
        <v>1063.0999999999999</v>
      </c>
      <c r="D26" s="59" t="s">
        <v>18</v>
      </c>
      <c r="E26" s="58" t="s">
        <v>23</v>
      </c>
      <c r="F26" s="60">
        <v>6764</v>
      </c>
      <c r="G26" s="60">
        <f>5606+84+34</f>
        <v>5724</v>
      </c>
      <c r="H26" s="60">
        <f>40+14+15</f>
        <v>69</v>
      </c>
      <c r="I26" s="60">
        <f t="shared" ref="I26:I37" si="8">F26-(G26+H26)</f>
        <v>971</v>
      </c>
      <c r="J26" s="61">
        <f>I26</f>
        <v>971</v>
      </c>
      <c r="K26" s="84" t="s">
        <v>87</v>
      </c>
      <c r="L26" s="62">
        <f>IF(J26&lt;0,0,I26)</f>
        <v>971</v>
      </c>
      <c r="M26" s="63"/>
      <c r="N26" s="63"/>
      <c r="O26" s="64">
        <v>839.84799999999996</v>
      </c>
      <c r="P26" s="65">
        <f>O26*O2</f>
        <v>4022.87192</v>
      </c>
      <c r="Q26" s="66"/>
      <c r="R26" s="66">
        <f>L26-O26</f>
        <v>131.15200000000004</v>
      </c>
      <c r="S26" s="67">
        <f>R26*O2</f>
        <v>628.21808000000021</v>
      </c>
    </row>
    <row r="27" spans="1:19" ht="31.5" hidden="1" customHeight="1" x14ac:dyDescent="0.25">
      <c r="A27" s="57">
        <v>45323</v>
      </c>
      <c r="B27" s="58">
        <v>2784.8</v>
      </c>
      <c r="C27" s="58">
        <v>1063.0999999999999</v>
      </c>
      <c r="D27" s="59" t="s">
        <v>18</v>
      </c>
      <c r="E27" s="58" t="s">
        <v>23</v>
      </c>
      <c r="F27" s="60">
        <f>6028</f>
        <v>6028</v>
      </c>
      <c r="G27" s="60">
        <f>5112+91+33</f>
        <v>5236</v>
      </c>
      <c r="H27" s="60">
        <f>30+14+15</f>
        <v>59</v>
      </c>
      <c r="I27" s="60">
        <f t="shared" si="8"/>
        <v>733</v>
      </c>
      <c r="J27" s="61">
        <f t="shared" ref="J27" si="9">I27</f>
        <v>733</v>
      </c>
      <c r="K27" s="85" t="s">
        <v>88</v>
      </c>
      <c r="L27" s="62">
        <f t="shared" ref="L27:L37" si="10">IF(J27&lt;0,0,I27)</f>
        <v>733</v>
      </c>
      <c r="M27" s="63"/>
      <c r="N27" s="63"/>
      <c r="O27" s="64">
        <v>839.84799999999996</v>
      </c>
      <c r="P27" s="65">
        <f>O27*O2</f>
        <v>4022.87192</v>
      </c>
      <c r="Q27" s="66">
        <f>L27-O27</f>
        <v>-106.84799999999996</v>
      </c>
      <c r="R27" s="66"/>
      <c r="S27" s="67">
        <f>Q27*O2</f>
        <v>-511.80191999999977</v>
      </c>
    </row>
    <row r="28" spans="1:19" ht="31.5" hidden="1" customHeight="1" x14ac:dyDescent="0.25">
      <c r="A28" s="57">
        <v>45352</v>
      </c>
      <c r="B28" s="58">
        <v>2784.8</v>
      </c>
      <c r="C28" s="58">
        <v>1063.0999999999999</v>
      </c>
      <c r="D28" s="59" t="s">
        <v>18</v>
      </c>
      <c r="E28" s="58" t="s">
        <v>23</v>
      </c>
      <c r="F28" s="60">
        <v>5408</v>
      </c>
      <c r="G28" s="60">
        <f>5120+102+39</f>
        <v>5261</v>
      </c>
      <c r="H28" s="60">
        <f>50+14+15</f>
        <v>79</v>
      </c>
      <c r="I28" s="60">
        <f t="shared" ref="I28:I33" si="11">F28-(G28+H28)</f>
        <v>68</v>
      </c>
      <c r="J28" s="61">
        <f>I28</f>
        <v>68</v>
      </c>
      <c r="K28" s="83" t="s">
        <v>89</v>
      </c>
      <c r="L28" s="62">
        <f>IF(J28&lt;0,0,I28)</f>
        <v>68</v>
      </c>
      <c r="M28" s="63"/>
      <c r="N28" s="63"/>
      <c r="O28" s="64">
        <v>839.84799999999996</v>
      </c>
      <c r="P28" s="65">
        <f>O28*O2</f>
        <v>4022.87192</v>
      </c>
      <c r="Q28" s="66">
        <f>-O28+L28</f>
        <v>-771.84799999999996</v>
      </c>
      <c r="R28" s="66"/>
      <c r="S28" s="67">
        <f>Q28*O2</f>
        <v>-3697.1519199999998</v>
      </c>
    </row>
    <row r="29" spans="1:19" ht="31.5" hidden="1" customHeight="1" x14ac:dyDescent="0.25">
      <c r="A29" s="57">
        <v>45383</v>
      </c>
      <c r="B29" s="58">
        <v>2784.8</v>
      </c>
      <c r="C29" s="58">
        <v>1063.0999999999999</v>
      </c>
      <c r="D29" s="59" t="s">
        <v>18</v>
      </c>
      <c r="E29" s="58" t="s">
        <v>23</v>
      </c>
      <c r="F29" s="60">
        <v>5902</v>
      </c>
      <c r="G29" s="60">
        <f>5243+104+37</f>
        <v>5384</v>
      </c>
      <c r="H29" s="60">
        <f>40+14+15</f>
        <v>69</v>
      </c>
      <c r="I29" s="60">
        <f t="shared" si="11"/>
        <v>449</v>
      </c>
      <c r="J29" s="61">
        <f>I29</f>
        <v>449</v>
      </c>
      <c r="K29" s="80" t="s">
        <v>90</v>
      </c>
      <c r="L29" s="62">
        <f>IF(J29&lt;0,0,I29)</f>
        <v>449</v>
      </c>
      <c r="M29" s="63"/>
      <c r="N29" s="63"/>
      <c r="O29" s="64">
        <v>839.84799999999996</v>
      </c>
      <c r="P29" s="65">
        <f>O29*O2</f>
        <v>4022.87192</v>
      </c>
      <c r="Q29" s="66">
        <f>-O29+L29</f>
        <v>-390.84799999999996</v>
      </c>
      <c r="R29" s="66"/>
      <c r="S29" s="67">
        <f>Q29*O2</f>
        <v>-1872.1619199999998</v>
      </c>
    </row>
    <row r="30" spans="1:19" ht="31.5" hidden="1" customHeight="1" x14ac:dyDescent="0.25">
      <c r="A30" s="57">
        <v>45413</v>
      </c>
      <c r="B30" s="58">
        <v>2784.8</v>
      </c>
      <c r="C30" s="58">
        <v>1063.0999999999999</v>
      </c>
      <c r="D30" s="59" t="s">
        <v>18</v>
      </c>
      <c r="E30" s="58" t="s">
        <v>23</v>
      </c>
      <c r="F30" s="60">
        <v>4838</v>
      </c>
      <c r="G30" s="60">
        <f>4761+92+35</f>
        <v>4888</v>
      </c>
      <c r="H30" s="60">
        <f>50+14+15</f>
        <v>79</v>
      </c>
      <c r="I30" s="60">
        <f t="shared" si="11"/>
        <v>-129</v>
      </c>
      <c r="J30" s="61">
        <f>I30</f>
        <v>-129</v>
      </c>
      <c r="K30" s="80" t="s">
        <v>91</v>
      </c>
      <c r="L30" s="62">
        <f>IF(J30&lt;0,0,I30)</f>
        <v>0</v>
      </c>
      <c r="M30" s="63"/>
      <c r="N30" s="63"/>
      <c r="O30" s="64">
        <v>839.84799999999996</v>
      </c>
      <c r="P30" s="65">
        <f>O30*O2</f>
        <v>4022.87192</v>
      </c>
      <c r="Q30" s="66">
        <f t="shared" ref="Q30" si="12">-O30</f>
        <v>-839.84799999999996</v>
      </c>
      <c r="R30" s="66"/>
      <c r="S30" s="67">
        <f>Q30*O2</f>
        <v>-4022.87192</v>
      </c>
    </row>
    <row r="31" spans="1:19" ht="31.5" hidden="1" customHeight="1" x14ac:dyDescent="0.25">
      <c r="A31" s="57">
        <v>45444</v>
      </c>
      <c r="B31" s="58">
        <v>2784.8</v>
      </c>
      <c r="C31" s="58">
        <v>1063.0999999999999</v>
      </c>
      <c r="D31" s="59" t="s">
        <v>18</v>
      </c>
      <c r="E31" s="58" t="s">
        <v>23</v>
      </c>
      <c r="F31" s="60">
        <v>6255</v>
      </c>
      <c r="G31" s="60">
        <f>6391+293+129</f>
        <v>6813</v>
      </c>
      <c r="H31" s="60">
        <f>14+15</f>
        <v>29</v>
      </c>
      <c r="I31" s="60">
        <f t="shared" si="11"/>
        <v>-587</v>
      </c>
      <c r="J31" s="61">
        <f>I31</f>
        <v>-587</v>
      </c>
      <c r="K31" s="80" t="s">
        <v>92</v>
      </c>
      <c r="L31" s="62">
        <f>IF(J31&lt;0,0,I31)</f>
        <v>0</v>
      </c>
      <c r="M31" s="63"/>
      <c r="N31" s="63"/>
      <c r="O31" s="64">
        <v>839.84799999999996</v>
      </c>
      <c r="P31" s="65">
        <f>O31*O2</f>
        <v>4022.87192</v>
      </c>
      <c r="Q31" s="66">
        <f>-O31+L31</f>
        <v>-839.84799999999996</v>
      </c>
      <c r="R31" s="66"/>
      <c r="S31" s="67">
        <f>Q31*O2</f>
        <v>-4022.87192</v>
      </c>
    </row>
    <row r="32" spans="1:19" ht="31.5" hidden="1" customHeight="1" x14ac:dyDescent="0.25">
      <c r="A32" s="57">
        <v>45474</v>
      </c>
      <c r="B32" s="58">
        <v>2784.8</v>
      </c>
      <c r="C32" s="58">
        <v>1063.0999999999999</v>
      </c>
      <c r="D32" s="59" t="s">
        <v>18</v>
      </c>
      <c r="E32" s="58" t="s">
        <v>23</v>
      </c>
      <c r="F32" s="60">
        <v>5395</v>
      </c>
      <c r="G32" s="60">
        <f>4253+98+39</f>
        <v>4390</v>
      </c>
      <c r="H32" s="60">
        <f>120+14+15</f>
        <v>149</v>
      </c>
      <c r="I32" s="60">
        <f t="shared" si="11"/>
        <v>856</v>
      </c>
      <c r="J32" s="61">
        <f t="shared" ref="J32" si="13">I32+J31</f>
        <v>269</v>
      </c>
      <c r="K32" s="80" t="s">
        <v>93</v>
      </c>
      <c r="L32" s="62">
        <f t="shared" si="10"/>
        <v>856</v>
      </c>
      <c r="M32" s="63"/>
      <c r="N32" s="63"/>
      <c r="O32" s="64">
        <v>839.84799999999996</v>
      </c>
      <c r="P32" s="65">
        <f>O32*O3</f>
        <v>4375.60808</v>
      </c>
      <c r="Q32" s="66"/>
      <c r="R32" s="66">
        <f>L32-O32</f>
        <v>16.152000000000044</v>
      </c>
      <c r="S32" s="67">
        <f>R32*O3</f>
        <v>84.151920000000231</v>
      </c>
    </row>
    <row r="33" spans="1:19" ht="31.5" hidden="1" customHeight="1" x14ac:dyDescent="0.25">
      <c r="A33" s="57">
        <v>45505</v>
      </c>
      <c r="B33" s="58">
        <v>2784.8</v>
      </c>
      <c r="C33" s="58">
        <v>1063.0999999999999</v>
      </c>
      <c r="D33" s="59" t="s">
        <v>18</v>
      </c>
      <c r="E33" s="58" t="s">
        <v>23</v>
      </c>
      <c r="F33" s="60">
        <v>5096</v>
      </c>
      <c r="G33" s="60">
        <f>4445+405+42</f>
        <v>4892</v>
      </c>
      <c r="H33" s="60">
        <f>70+14+15</f>
        <v>99</v>
      </c>
      <c r="I33" s="60">
        <f t="shared" si="11"/>
        <v>105</v>
      </c>
      <c r="J33" s="61">
        <f>I33</f>
        <v>105</v>
      </c>
      <c r="K33" s="80" t="s">
        <v>94</v>
      </c>
      <c r="L33" s="62">
        <f t="shared" si="10"/>
        <v>105</v>
      </c>
      <c r="M33" s="63"/>
      <c r="N33" s="63"/>
      <c r="O33" s="64">
        <v>839.84799999999996</v>
      </c>
      <c r="P33" s="65">
        <f>O33*O3</f>
        <v>4375.60808</v>
      </c>
      <c r="Q33" s="66">
        <f>-O33+L33</f>
        <v>-734.84799999999996</v>
      </c>
      <c r="R33" s="66"/>
      <c r="S33" s="67">
        <f>Q33*O3</f>
        <v>-3828.5580799999998</v>
      </c>
    </row>
    <row r="34" spans="1:19" ht="31.5" hidden="1" customHeight="1" x14ac:dyDescent="0.25">
      <c r="A34" s="57">
        <v>45536</v>
      </c>
      <c r="B34" s="58">
        <v>2784.8</v>
      </c>
      <c r="C34" s="58">
        <v>1063.0999999999999</v>
      </c>
      <c r="D34" s="59" t="s">
        <v>18</v>
      </c>
      <c r="E34" s="58" t="s">
        <v>23</v>
      </c>
      <c r="F34" s="60">
        <v>4463</v>
      </c>
      <c r="G34" s="60">
        <f>4798+121+48</f>
        <v>4967</v>
      </c>
      <c r="H34" s="60">
        <f>70+14+15</f>
        <v>99</v>
      </c>
      <c r="I34" s="60">
        <f t="shared" si="8"/>
        <v>-603</v>
      </c>
      <c r="J34" s="61">
        <f>I34</f>
        <v>-603</v>
      </c>
      <c r="K34" s="80" t="s">
        <v>95</v>
      </c>
      <c r="L34" s="62">
        <f t="shared" si="10"/>
        <v>0</v>
      </c>
      <c r="M34" s="63"/>
      <c r="N34" s="63"/>
      <c r="O34" s="64">
        <v>839.84799999999996</v>
      </c>
      <c r="P34" s="65">
        <f>O34*O3</f>
        <v>4375.60808</v>
      </c>
      <c r="Q34" s="66">
        <f>-O34+L34</f>
        <v>-839.84799999999996</v>
      </c>
      <c r="R34" s="66"/>
      <c r="S34" s="67">
        <f>Q34*O3</f>
        <v>-4375.60808</v>
      </c>
    </row>
    <row r="35" spans="1:19" ht="31.5" hidden="1" customHeight="1" x14ac:dyDescent="0.25">
      <c r="A35" s="57">
        <v>45566</v>
      </c>
      <c r="B35" s="58">
        <v>2784.8</v>
      </c>
      <c r="C35" s="58">
        <v>1063.0999999999999</v>
      </c>
      <c r="D35" s="59" t="s">
        <v>18</v>
      </c>
      <c r="E35" s="58" t="s">
        <v>23</v>
      </c>
      <c r="F35" s="60">
        <v>6082</v>
      </c>
      <c r="G35" s="60">
        <f>4407+100+38</f>
        <v>4545</v>
      </c>
      <c r="H35" s="60">
        <f>14+15</f>
        <v>29</v>
      </c>
      <c r="I35" s="60">
        <f>F35-(G35+H35)</f>
        <v>1508</v>
      </c>
      <c r="J35" s="61">
        <f>I35</f>
        <v>1508</v>
      </c>
      <c r="K35" s="80" t="s">
        <v>96</v>
      </c>
      <c r="L35" s="62">
        <f t="shared" si="10"/>
        <v>1508</v>
      </c>
      <c r="M35" s="63"/>
      <c r="N35" s="63"/>
      <c r="O35" s="64">
        <v>839.84799999999996</v>
      </c>
      <c r="P35" s="65">
        <f>O35*O3</f>
        <v>4375.60808</v>
      </c>
      <c r="Q35" s="66"/>
      <c r="R35" s="66">
        <f>L35-O35</f>
        <v>668.15200000000004</v>
      </c>
      <c r="S35" s="67">
        <f>R35*O3</f>
        <v>3481.0719200000003</v>
      </c>
    </row>
    <row r="36" spans="1:19" ht="31.5" hidden="1" customHeight="1" x14ac:dyDescent="0.25">
      <c r="A36" s="57">
        <v>45597</v>
      </c>
      <c r="B36" s="58">
        <v>2784.8</v>
      </c>
      <c r="C36" s="58">
        <v>1063.0999999999999</v>
      </c>
      <c r="D36" s="59" t="s">
        <v>18</v>
      </c>
      <c r="E36" s="58" t="s">
        <v>23</v>
      </c>
      <c r="F36" s="60">
        <v>5384</v>
      </c>
      <c r="G36" s="60">
        <f>5095+137+47</f>
        <v>5279</v>
      </c>
      <c r="H36" s="60">
        <f>50+14+15</f>
        <v>79</v>
      </c>
      <c r="I36" s="60">
        <f t="shared" si="8"/>
        <v>26</v>
      </c>
      <c r="J36" s="61">
        <f>I36</f>
        <v>26</v>
      </c>
      <c r="K36" s="80" t="s">
        <v>97</v>
      </c>
      <c r="L36" s="62">
        <f t="shared" si="10"/>
        <v>26</v>
      </c>
      <c r="M36" s="63"/>
      <c r="N36" s="63"/>
      <c r="O36" s="64">
        <v>839.84799999999996</v>
      </c>
      <c r="P36" s="65">
        <f>O36*O3</f>
        <v>4375.60808</v>
      </c>
      <c r="Q36" s="66">
        <f>-O36+L36</f>
        <v>-813.84799999999996</v>
      </c>
      <c r="R36" s="66"/>
      <c r="S36" s="67">
        <f>Q36*O3</f>
        <v>-4240.1480799999999</v>
      </c>
    </row>
    <row r="37" spans="1:19" ht="31.5" hidden="1" customHeight="1" x14ac:dyDescent="0.25">
      <c r="A37" s="57">
        <v>45627</v>
      </c>
      <c r="B37" s="58">
        <v>2784.8</v>
      </c>
      <c r="C37" s="58">
        <v>1063.0999999999999</v>
      </c>
      <c r="D37" s="59" t="s">
        <v>18</v>
      </c>
      <c r="E37" s="58" t="s">
        <v>23</v>
      </c>
      <c r="F37" s="60">
        <v>5812</v>
      </c>
      <c r="G37" s="60">
        <f>4683+138+44</f>
        <v>4865</v>
      </c>
      <c r="H37" s="60">
        <f>30+14+15</f>
        <v>59</v>
      </c>
      <c r="I37" s="60">
        <f t="shared" si="8"/>
        <v>888</v>
      </c>
      <c r="J37" s="61">
        <f>I37</f>
        <v>888</v>
      </c>
      <c r="K37" s="81" t="s">
        <v>98</v>
      </c>
      <c r="L37" s="62">
        <f t="shared" si="10"/>
        <v>888</v>
      </c>
      <c r="M37" s="63"/>
      <c r="N37" s="63"/>
      <c r="O37" s="64">
        <v>839.84799999999996</v>
      </c>
      <c r="P37" s="65">
        <f>O37*O3</f>
        <v>4375.60808</v>
      </c>
      <c r="Q37" s="66"/>
      <c r="R37" s="66">
        <f>L37-O37</f>
        <v>48.152000000000044</v>
      </c>
      <c r="S37" s="67">
        <f>R37*O3</f>
        <v>250.87192000000022</v>
      </c>
    </row>
    <row r="38" spans="1:19" s="20" customFormat="1" ht="31.5" hidden="1" customHeight="1" x14ac:dyDescent="0.25">
      <c r="A38" s="75"/>
      <c r="B38" s="76"/>
      <c r="C38" s="76"/>
      <c r="L38" s="20">
        <f>SUM(L26:L37)</f>
        <v>5604</v>
      </c>
      <c r="O38" s="20">
        <f>SUM(O26:O37)</f>
        <v>10078.175999999999</v>
      </c>
      <c r="P38" s="20">
        <f>SUM(P26:P37)</f>
        <v>50390.87999999999</v>
      </c>
      <c r="R38" s="20">
        <f>SUM(Q26:R31)</f>
        <v>-2818.0879999999997</v>
      </c>
      <c r="S38" s="20">
        <f>SUM(S26:S37)</f>
        <v>-22126.859999999997</v>
      </c>
    </row>
    <row r="39" spans="1:19" s="20" customFormat="1" ht="31.5" hidden="1" customHeight="1" x14ac:dyDescent="0.25">
      <c r="A39" s="75"/>
      <c r="R39" s="20">
        <f>SUM(Q32:R37)</f>
        <v>-1656.0879999999997</v>
      </c>
    </row>
    <row r="40" spans="1:19" hidden="1" x14ac:dyDescent="0.25"/>
    <row r="41" spans="1:19" ht="31.5" customHeight="1" x14ac:dyDescent="0.25">
      <c r="A41" s="57">
        <v>45658</v>
      </c>
      <c r="B41" s="58">
        <v>2784.8</v>
      </c>
      <c r="C41" s="58">
        <v>1063.0999999999999</v>
      </c>
      <c r="D41" s="59" t="s">
        <v>18</v>
      </c>
      <c r="E41" s="58" t="s">
        <v>23</v>
      </c>
      <c r="F41" s="60">
        <v>5282</v>
      </c>
      <c r="G41" s="60">
        <f>5169+116+46</f>
        <v>5331</v>
      </c>
      <c r="H41" s="60">
        <f>50+14+15</f>
        <v>79</v>
      </c>
      <c r="I41" s="60">
        <f t="shared" ref="I41:I49" si="14">F41-(G41+H41)</f>
        <v>-128</v>
      </c>
      <c r="J41" s="61">
        <f>I41</f>
        <v>-128</v>
      </c>
      <c r="K41" s="93" t="s">
        <v>103</v>
      </c>
      <c r="L41" s="62">
        <f>IF(J41&lt;0,0,I41)</f>
        <v>0</v>
      </c>
      <c r="M41" s="63"/>
      <c r="N41" s="63"/>
      <c r="O41" s="64">
        <v>839.84799999999996</v>
      </c>
      <c r="P41" s="65">
        <f>O41*R2</f>
        <v>4375.60808</v>
      </c>
      <c r="Q41" s="66">
        <f>L41-O41</f>
        <v>-839.84799999999996</v>
      </c>
      <c r="R41" s="66"/>
      <c r="S41" s="92">
        <f>Q41*R2</f>
        <v>-4375.60808</v>
      </c>
    </row>
    <row r="42" spans="1:19" ht="31.5" customHeight="1" x14ac:dyDescent="0.25">
      <c r="A42" s="57">
        <v>45689</v>
      </c>
      <c r="B42" s="58">
        <v>2784.8</v>
      </c>
      <c r="C42" s="58">
        <v>1063.0999999999999</v>
      </c>
      <c r="D42" s="59" t="s">
        <v>18</v>
      </c>
      <c r="E42" s="58" t="s">
        <v>23</v>
      </c>
      <c r="F42" s="60">
        <v>5799</v>
      </c>
      <c r="G42" s="60">
        <f>4787+112+44</f>
        <v>4943</v>
      </c>
      <c r="H42" s="60">
        <f>50+14+15</f>
        <v>79</v>
      </c>
      <c r="I42" s="60">
        <f t="shared" si="14"/>
        <v>777</v>
      </c>
      <c r="J42" s="61">
        <f t="shared" ref="J42" si="15">I42</f>
        <v>777</v>
      </c>
      <c r="K42" s="93" t="s">
        <v>104</v>
      </c>
      <c r="L42" s="62">
        <f>J42+J41</f>
        <v>649</v>
      </c>
      <c r="M42" s="63"/>
      <c r="N42" s="63"/>
      <c r="O42" s="64">
        <v>839.84799999999996</v>
      </c>
      <c r="P42" s="65">
        <f>O42*R2</f>
        <v>4375.60808</v>
      </c>
      <c r="Q42" s="66">
        <f>L42-O42</f>
        <v>-190.84799999999996</v>
      </c>
      <c r="R42" s="66"/>
      <c r="S42" s="92">
        <f>Q42*R2</f>
        <v>-994.31807999999978</v>
      </c>
    </row>
    <row r="43" spans="1:19" ht="31.5" customHeight="1" x14ac:dyDescent="0.25">
      <c r="A43" s="57">
        <v>45717</v>
      </c>
      <c r="B43" s="58">
        <v>2784.8</v>
      </c>
      <c r="C43" s="58">
        <v>1063.0999999999999</v>
      </c>
      <c r="D43" s="59" t="s">
        <v>18</v>
      </c>
      <c r="E43" s="58" t="s">
        <v>23</v>
      </c>
      <c r="F43" s="60">
        <v>4753</v>
      </c>
      <c r="G43" s="60">
        <f>4478+109+42</f>
        <v>4629</v>
      </c>
      <c r="H43" s="60">
        <f>60+14+15</f>
        <v>89</v>
      </c>
      <c r="I43" s="60">
        <f t="shared" si="14"/>
        <v>35</v>
      </c>
      <c r="J43" s="61">
        <f>I43</f>
        <v>35</v>
      </c>
      <c r="K43" s="93" t="s">
        <v>105</v>
      </c>
      <c r="L43" s="62">
        <f>IF(J43&lt;0,0,I43)</f>
        <v>35</v>
      </c>
      <c r="M43" s="63"/>
      <c r="N43" s="63"/>
      <c r="O43" s="64">
        <v>839.84799999999996</v>
      </c>
      <c r="P43" s="65">
        <f>O43*R2</f>
        <v>4375.60808</v>
      </c>
      <c r="Q43" s="66">
        <f>-O43+L43</f>
        <v>-804.84799999999996</v>
      </c>
      <c r="R43" s="66"/>
      <c r="S43" s="92">
        <f>Q43*R2</f>
        <v>-4193.2580799999996</v>
      </c>
    </row>
    <row r="44" spans="1:19" ht="31.5" customHeight="1" x14ac:dyDescent="0.25">
      <c r="A44" s="57">
        <v>45748</v>
      </c>
      <c r="B44" s="58">
        <v>2784.8</v>
      </c>
      <c r="C44" s="58">
        <v>1063.0999999999999</v>
      </c>
      <c r="D44" s="59" t="s">
        <v>18</v>
      </c>
      <c r="E44" s="58" t="s">
        <v>23</v>
      </c>
      <c r="F44" s="60">
        <v>5084</v>
      </c>
      <c r="G44" s="60">
        <f>4804+119+45</f>
        <v>4968</v>
      </c>
      <c r="H44" s="60">
        <f>70+14+15</f>
        <v>99</v>
      </c>
      <c r="I44" s="60">
        <f t="shared" si="14"/>
        <v>17</v>
      </c>
      <c r="J44" s="61">
        <f>I44</f>
        <v>17</v>
      </c>
      <c r="K44" s="93" t="s">
        <v>106</v>
      </c>
      <c r="L44" s="62">
        <f>IF(J44&lt;0,0,I44)</f>
        <v>17</v>
      </c>
      <c r="M44" s="63"/>
      <c r="N44" s="63"/>
      <c r="O44" s="64">
        <v>839.84799999999996</v>
      </c>
      <c r="P44" s="65">
        <f>O44*R2</f>
        <v>4375.60808</v>
      </c>
      <c r="Q44" s="66">
        <f>-O44+L44</f>
        <v>-822.84799999999996</v>
      </c>
      <c r="R44" s="66"/>
      <c r="S44" s="92">
        <f>Q44*R2</f>
        <v>-4287.0380799999994</v>
      </c>
    </row>
    <row r="45" spans="1:19" ht="31.5" customHeight="1" x14ac:dyDescent="0.25">
      <c r="A45" s="57">
        <v>45778</v>
      </c>
      <c r="B45" s="58">
        <v>2784.8</v>
      </c>
      <c r="C45" s="58">
        <v>1063.0999999999999</v>
      </c>
      <c r="D45" s="59" t="s">
        <v>18</v>
      </c>
      <c r="E45" s="58" t="s">
        <v>23</v>
      </c>
      <c r="F45" s="60">
        <v>4594</v>
      </c>
      <c r="G45" s="60">
        <f>4697+120+47</f>
        <v>4864</v>
      </c>
      <c r="H45" s="60">
        <f>40+14+15+27</f>
        <v>96</v>
      </c>
      <c r="I45" s="60">
        <f t="shared" si="14"/>
        <v>-366</v>
      </c>
      <c r="J45" s="61">
        <f>I45</f>
        <v>-366</v>
      </c>
      <c r="K45" s="93" t="s">
        <v>107</v>
      </c>
      <c r="L45" s="62">
        <f>IF(J45&lt;0,0,I45)</f>
        <v>0</v>
      </c>
      <c r="M45" s="63"/>
      <c r="N45" s="63"/>
      <c r="O45" s="64">
        <v>839.84799999999996</v>
      </c>
      <c r="P45" s="65">
        <f>O45*R2</f>
        <v>4375.60808</v>
      </c>
      <c r="Q45" s="66">
        <f t="shared" ref="Q45" si="16">-O45</f>
        <v>-839.84799999999996</v>
      </c>
      <c r="R45" s="66"/>
      <c r="S45" s="92">
        <f>Q45*R2</f>
        <v>-4375.60808</v>
      </c>
    </row>
    <row r="46" spans="1:19" ht="31.5" customHeight="1" x14ac:dyDescent="0.25">
      <c r="A46" s="57">
        <v>45809</v>
      </c>
      <c r="B46" s="58">
        <v>2784.8</v>
      </c>
      <c r="C46" s="58">
        <v>1063.0999999999999</v>
      </c>
      <c r="D46" s="59" t="s">
        <v>18</v>
      </c>
      <c r="E46" s="58" t="s">
        <v>23</v>
      </c>
      <c r="F46" s="60">
        <v>5755</v>
      </c>
      <c r="G46" s="60">
        <f>4834+176+135</f>
        <v>5145</v>
      </c>
      <c r="H46" s="60">
        <f>60+14+15+27</f>
        <v>116</v>
      </c>
      <c r="I46" s="60">
        <f t="shared" si="14"/>
        <v>494</v>
      </c>
      <c r="J46" s="61">
        <f>I46+J45</f>
        <v>128</v>
      </c>
      <c r="K46" s="93" t="s">
        <v>108</v>
      </c>
      <c r="L46" s="62">
        <f>I46+J45</f>
        <v>128</v>
      </c>
      <c r="M46" s="63"/>
      <c r="N46" s="63"/>
      <c r="O46" s="64">
        <v>839.84799999999996</v>
      </c>
      <c r="P46" s="65">
        <f>O46*R2</f>
        <v>4375.60808</v>
      </c>
      <c r="Q46" s="66">
        <f>-O46+L46</f>
        <v>-711.84799999999996</v>
      </c>
      <c r="R46" s="66"/>
      <c r="S46" s="92">
        <f>Q46*R2</f>
        <v>-3708.7280799999999</v>
      </c>
    </row>
    <row r="47" spans="1:19" ht="31.5" customHeight="1" x14ac:dyDescent="0.25">
      <c r="A47" s="57">
        <v>45839</v>
      </c>
      <c r="B47" s="58">
        <v>2784.8</v>
      </c>
      <c r="C47" s="58">
        <v>1063.0999999999999</v>
      </c>
      <c r="D47" s="59" t="s">
        <v>18</v>
      </c>
      <c r="E47" s="58" t="s">
        <v>23</v>
      </c>
      <c r="F47" s="60">
        <v>4566</v>
      </c>
      <c r="G47" s="60">
        <f>4591+110+45</f>
        <v>4746</v>
      </c>
      <c r="H47" s="60">
        <f>50+14+15+27</f>
        <v>106</v>
      </c>
      <c r="I47" s="60">
        <f t="shared" si="14"/>
        <v>-286</v>
      </c>
      <c r="J47" s="61">
        <f>I47</f>
        <v>-286</v>
      </c>
      <c r="K47" s="93" t="s">
        <v>109</v>
      </c>
      <c r="L47" s="62">
        <f t="shared" ref="L47:L52" si="17">IF(J47&lt;0,0,I47)</f>
        <v>0</v>
      </c>
      <c r="M47" s="63"/>
      <c r="N47" s="63"/>
      <c r="O47" s="64">
        <v>839.84799999999996</v>
      </c>
      <c r="P47" s="65">
        <f>O47*R3</f>
        <v>4921.5092800000002</v>
      </c>
      <c r="Q47" s="66">
        <f>L47-O47</f>
        <v>-839.84799999999996</v>
      </c>
      <c r="R47" s="66"/>
      <c r="S47" s="92">
        <f>Q47*R3</f>
        <v>-4921.5092800000002</v>
      </c>
    </row>
    <row r="48" spans="1:19" ht="31.5" customHeight="1" x14ac:dyDescent="0.25">
      <c r="A48" s="57">
        <v>45870</v>
      </c>
      <c r="B48" s="58">
        <v>2784.8</v>
      </c>
      <c r="C48" s="58">
        <v>1063.0999999999999</v>
      </c>
      <c r="D48" s="59" t="s">
        <v>18</v>
      </c>
      <c r="E48" s="58" t="s">
        <v>23</v>
      </c>
      <c r="F48" s="60">
        <v>5140</v>
      </c>
      <c r="G48" s="60">
        <f>4543+114+53</f>
        <v>4710</v>
      </c>
      <c r="H48" s="60">
        <f>20+14+15+27</f>
        <v>76</v>
      </c>
      <c r="I48" s="60">
        <f t="shared" si="14"/>
        <v>354</v>
      </c>
      <c r="J48" s="61">
        <f>I48+J47</f>
        <v>68</v>
      </c>
      <c r="K48" s="93" t="s">
        <v>113</v>
      </c>
      <c r="L48" s="62">
        <f>I48+J47</f>
        <v>68</v>
      </c>
      <c r="M48" s="63"/>
      <c r="N48" s="63"/>
      <c r="O48" s="64">
        <v>839.84799999999996</v>
      </c>
      <c r="P48" s="65">
        <f>O48*R3</f>
        <v>4921.5092800000002</v>
      </c>
      <c r="Q48" s="66">
        <f>-O48+L48</f>
        <v>-771.84799999999996</v>
      </c>
      <c r="R48" s="66"/>
      <c r="S48" s="92">
        <f>Q48*R3</f>
        <v>-4523.0292799999997</v>
      </c>
    </row>
    <row r="49" spans="1:19" ht="31.5" customHeight="1" x14ac:dyDescent="0.25">
      <c r="A49" s="57">
        <v>45901</v>
      </c>
      <c r="B49" s="58">
        <v>2784.8</v>
      </c>
      <c r="C49" s="58">
        <v>1063.0999999999999</v>
      </c>
      <c r="D49" s="59" t="s">
        <v>18</v>
      </c>
      <c r="E49" s="58" t="s">
        <v>23</v>
      </c>
      <c r="F49" s="60">
        <v>5077</v>
      </c>
      <c r="G49" s="60">
        <f>4154+112+49</f>
        <v>4315</v>
      </c>
      <c r="H49" s="60">
        <f>30+14+15+27</f>
        <v>86</v>
      </c>
      <c r="I49" s="60">
        <f t="shared" si="14"/>
        <v>676</v>
      </c>
      <c r="J49" s="61">
        <f>I49</f>
        <v>676</v>
      </c>
      <c r="K49" s="93" t="s">
        <v>110</v>
      </c>
      <c r="L49" s="62">
        <f t="shared" si="17"/>
        <v>676</v>
      </c>
      <c r="M49" s="63"/>
      <c r="N49" s="63"/>
      <c r="O49" s="64">
        <v>839.84799999999996</v>
      </c>
      <c r="P49" s="65">
        <f>O49*R3</f>
        <v>4921.5092800000002</v>
      </c>
      <c r="Q49" s="66">
        <f>-O49+L49</f>
        <v>-163.84799999999996</v>
      </c>
      <c r="R49" s="66"/>
      <c r="S49" s="92">
        <f>Q49*R3</f>
        <v>-960.14927999999975</v>
      </c>
    </row>
    <row r="50" spans="1:19" ht="31.5" customHeight="1" x14ac:dyDescent="0.25">
      <c r="A50" s="57">
        <v>45931</v>
      </c>
      <c r="B50" s="58">
        <v>2784.8</v>
      </c>
      <c r="C50" s="58">
        <v>1063.0999999999999</v>
      </c>
      <c r="D50" s="59" t="s">
        <v>18</v>
      </c>
      <c r="E50" s="58" t="s">
        <v>23</v>
      </c>
      <c r="F50" s="60">
        <v>6053</v>
      </c>
      <c r="G50" s="60">
        <f>5253+103+46</f>
        <v>5402</v>
      </c>
      <c r="H50" s="60">
        <f>40+14+15+27</f>
        <v>96</v>
      </c>
      <c r="I50" s="60">
        <f>F50-(G50+H50)</f>
        <v>555</v>
      </c>
      <c r="J50" s="61">
        <f>I50</f>
        <v>555</v>
      </c>
      <c r="K50" s="93" t="s">
        <v>111</v>
      </c>
      <c r="L50" s="62">
        <f t="shared" si="17"/>
        <v>555</v>
      </c>
      <c r="M50" s="63"/>
      <c r="N50" s="63"/>
      <c r="O50" s="64">
        <v>839.84799999999996</v>
      </c>
      <c r="P50" s="65">
        <f>O50*R3</f>
        <v>4921.5092800000002</v>
      </c>
      <c r="Q50" s="66">
        <f>-O50+L50</f>
        <v>-284.84799999999996</v>
      </c>
      <c r="R50" s="66"/>
      <c r="S50" s="92">
        <f>Q50*R3</f>
        <v>-1669.2092799999998</v>
      </c>
    </row>
    <row r="51" spans="1:19" ht="31.5" customHeight="1" x14ac:dyDescent="0.25">
      <c r="A51" s="57">
        <v>45962</v>
      </c>
      <c r="B51" s="58">
        <v>2784.8</v>
      </c>
      <c r="C51" s="58">
        <v>1063.0999999999999</v>
      </c>
      <c r="D51" s="59" t="s">
        <v>18</v>
      </c>
      <c r="E51" s="58" t="s">
        <v>23</v>
      </c>
      <c r="F51" s="60">
        <v>5948</v>
      </c>
      <c r="G51" s="60">
        <f>4981+117+53</f>
        <v>5151</v>
      </c>
      <c r="H51" s="60">
        <f>60+14+15+27</f>
        <v>116</v>
      </c>
      <c r="I51" s="60">
        <f t="shared" ref="I51:I52" si="18">F51-(G51+H51)</f>
        <v>681</v>
      </c>
      <c r="J51" s="61">
        <f>I51</f>
        <v>681</v>
      </c>
      <c r="K51" s="93" t="s">
        <v>114</v>
      </c>
      <c r="L51" s="62">
        <f t="shared" si="17"/>
        <v>681</v>
      </c>
      <c r="M51" s="63"/>
      <c r="N51" s="63"/>
      <c r="O51" s="64">
        <v>839.84799999999996</v>
      </c>
      <c r="P51" s="65">
        <f>O51*R3</f>
        <v>4921.5092800000002</v>
      </c>
      <c r="Q51" s="66">
        <f>-O51+L51</f>
        <v>-158.84799999999996</v>
      </c>
      <c r="R51" s="66"/>
      <c r="S51" s="92">
        <f>Q51*R3</f>
        <v>-930.84927999999979</v>
      </c>
    </row>
    <row r="52" spans="1:19" ht="31.5" customHeight="1" x14ac:dyDescent="0.25">
      <c r="A52" s="57">
        <v>45992</v>
      </c>
      <c r="B52" s="58">
        <v>2784.8</v>
      </c>
      <c r="C52" s="58">
        <v>1063.0999999999999</v>
      </c>
      <c r="D52" s="59" t="s">
        <v>18</v>
      </c>
      <c r="E52" s="58" t="s">
        <v>23</v>
      </c>
      <c r="F52" s="60">
        <v>5332</v>
      </c>
      <c r="G52" s="60">
        <f>5129+226+114</f>
        <v>5469</v>
      </c>
      <c r="H52" s="60">
        <f>74+14+15+27</f>
        <v>130</v>
      </c>
      <c r="I52" s="60">
        <f t="shared" si="18"/>
        <v>-267</v>
      </c>
      <c r="J52" s="61">
        <f>I52</f>
        <v>-267</v>
      </c>
      <c r="K52" s="81" t="s">
        <v>112</v>
      </c>
      <c r="L52" s="62">
        <f t="shared" si="17"/>
        <v>0</v>
      </c>
      <c r="M52" s="63"/>
      <c r="N52" s="63"/>
      <c r="O52" s="64">
        <v>839.84799999999996</v>
      </c>
      <c r="P52" s="65">
        <f>O52*R3</f>
        <v>4921.5092800000002</v>
      </c>
      <c r="Q52" s="66">
        <f>-O52+L52</f>
        <v>-839.84799999999996</v>
      </c>
      <c r="R52" s="66"/>
      <c r="S52" s="92">
        <f>Q52*R3</f>
        <v>-4921.5092800000002</v>
      </c>
    </row>
    <row r="53" spans="1:19" s="20" customFormat="1" ht="31.5" customHeight="1" x14ac:dyDescent="0.25">
      <c r="A53" s="75"/>
      <c r="B53" s="76"/>
      <c r="C53" s="76"/>
      <c r="K53" s="90"/>
      <c r="L53" s="20">
        <f>SUM(L41:L52)</f>
        <v>2809</v>
      </c>
      <c r="O53" s="20">
        <f>SUM(O41:O52)</f>
        <v>10078.175999999999</v>
      </c>
      <c r="P53" s="20">
        <f>SUM(P41:P52)</f>
        <v>55782.704159999987</v>
      </c>
      <c r="Q53" s="95" t="s">
        <v>116</v>
      </c>
      <c r="R53" s="95">
        <f>SUM(Q41:R46)</f>
        <v>-4210.0879999999997</v>
      </c>
      <c r="S53" s="96">
        <f>SUM(S41:S46)</f>
        <v>-21934.55848</v>
      </c>
    </row>
    <row r="54" spans="1:19" s="20" customFormat="1" ht="31.5" customHeight="1" x14ac:dyDescent="0.25">
      <c r="A54" s="75"/>
      <c r="K54" s="90"/>
      <c r="Q54" s="97" t="s">
        <v>117</v>
      </c>
      <c r="R54" s="95">
        <f>SUM(Q47:R52)</f>
        <v>-3059.0879999999997</v>
      </c>
      <c r="S54" s="96">
        <f>SUM(S47:S52)</f>
        <v>-17926.255680000002</v>
      </c>
    </row>
    <row r="55" spans="1:19" ht="15" customHeight="1" x14ac:dyDescent="0.25">
      <c r="Q55" s="97"/>
      <c r="R55" s="97"/>
      <c r="S55" s="97"/>
    </row>
    <row r="56" spans="1:19" x14ac:dyDescent="0.25">
      <c r="Q56" s="97"/>
      <c r="R56" s="95">
        <f>R53+R54</f>
        <v>-7269.1759999999995</v>
      </c>
      <c r="S56" s="96">
        <f>S53+S54</f>
        <v>-39860.814160000002</v>
      </c>
    </row>
    <row r="57" spans="1:19" ht="15" customHeight="1" x14ac:dyDescent="0.25">
      <c r="R57" s="56">
        <f>R54+R55</f>
        <v>-3059.0879999999997</v>
      </c>
      <c r="S57" s="20">
        <f>S54+S55</f>
        <v>-17926.255680000002</v>
      </c>
    </row>
    <row r="59" spans="1:19" ht="15" customHeight="1" x14ac:dyDescent="0.25"/>
    <row r="61" spans="1:19" ht="15" customHeight="1" x14ac:dyDescent="0.25"/>
    <row r="63" spans="1:19" ht="15" customHeight="1" x14ac:dyDescent="0.25"/>
    <row r="67" spans="18:18" x14ac:dyDescent="0.25">
      <c r="R67">
        <f>SUM(Q43:R54)</f>
        <v>-13507.655999999999</v>
      </c>
    </row>
    <row r="68" spans="18:18" x14ac:dyDescent="0.25">
      <c r="R68">
        <f>SUM(Q55:R66)</f>
        <v>-10328.263999999999</v>
      </c>
    </row>
    <row r="94" spans="17:19" x14ac:dyDescent="0.25">
      <c r="Q94" s="97" t="s">
        <v>116</v>
      </c>
      <c r="R94" s="97"/>
      <c r="S94" s="97">
        <f>SUM(S70:S81)</f>
        <v>0</v>
      </c>
    </row>
    <row r="95" spans="17:19" x14ac:dyDescent="0.25">
      <c r="Q95" s="97" t="s">
        <v>117</v>
      </c>
      <c r="R95" s="97"/>
      <c r="S95" s="97">
        <f>SUM(S82:S93)</f>
        <v>0</v>
      </c>
    </row>
    <row r="96" spans="17:19" x14ac:dyDescent="0.25">
      <c r="Q96" s="97"/>
      <c r="R96" s="97"/>
      <c r="S96" s="97"/>
    </row>
    <row r="97" spans="17:19" x14ac:dyDescent="0.25">
      <c r="Q97" s="97"/>
      <c r="R97" s="97"/>
      <c r="S97" s="97">
        <f>S94+S95</f>
        <v>0</v>
      </c>
    </row>
  </sheetData>
  <sheetProtection algorithmName="SHA-512" hashValue="wernHc6IV4ZRyn7dNoBCdFqYZBBKwm9iY97L05BLEgAxOBZH3XC2Mi93igm93RMuUPe3I2770ugX2Mua1kZwfQ==" saltValue="fqY37nfUJJWbnXuJN63ybA==" spinCount="100000" sheet="1" objects="1" scenarios="1" selectLockedCells="1" selectUnlockedCells="1"/>
  <mergeCells count="23">
    <mergeCell ref="A1:S1"/>
    <mergeCell ref="O4:O5"/>
    <mergeCell ref="P4:P5"/>
    <mergeCell ref="Q4:R4"/>
    <mergeCell ref="G4:G5"/>
    <mergeCell ref="H4:H5"/>
    <mergeCell ref="I4:I5"/>
    <mergeCell ref="K4:L4"/>
    <mergeCell ref="M4:M5"/>
    <mergeCell ref="N4:N5"/>
    <mergeCell ref="A4:A5"/>
    <mergeCell ref="B4:B5"/>
    <mergeCell ref="C4:C5"/>
    <mergeCell ref="D4:D5"/>
    <mergeCell ref="E4:E5"/>
    <mergeCell ref="P2:P3"/>
    <mergeCell ref="S4:S5"/>
    <mergeCell ref="F4:F5"/>
    <mergeCell ref="A2:D2"/>
    <mergeCell ref="G2:K2"/>
    <mergeCell ref="G3:K3"/>
    <mergeCell ref="J4:J5"/>
    <mergeCell ref="S2:S3"/>
  </mergeCells>
  <pageMargins left="0.25" right="0.25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zoomScale="78" zoomScaleNormal="78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28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2775.6</v>
      </c>
      <c r="C7" s="10">
        <v>1032.4000000000001</v>
      </c>
      <c r="D7" s="19" t="s">
        <v>21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826</v>
      </c>
      <c r="M7" s="10"/>
      <c r="N7" s="10"/>
      <c r="O7" s="48">
        <v>825.91800000000001</v>
      </c>
      <c r="P7" s="36">
        <f>O7*M2</f>
        <v>3634.0392000000002</v>
      </c>
      <c r="Q7" s="50">
        <v>0</v>
      </c>
      <c r="R7" s="32"/>
      <c r="S7" s="16">
        <v>0</v>
      </c>
    </row>
    <row r="8" spans="1:19" ht="39.75" hidden="1" customHeight="1" x14ac:dyDescent="0.25">
      <c r="A8" s="18">
        <v>44835</v>
      </c>
      <c r="B8" s="10">
        <v>2775.6</v>
      </c>
      <c r="C8" s="10">
        <v>1032.4000000000001</v>
      </c>
      <c r="D8" s="19" t="s">
        <v>21</v>
      </c>
      <c r="E8" s="10" t="s">
        <v>23</v>
      </c>
      <c r="F8" s="11">
        <v>5871.4</v>
      </c>
      <c r="G8" s="11">
        <f>4955+245+86</f>
        <v>5286</v>
      </c>
      <c r="H8" s="11">
        <f t="shared" ref="H8:H22" si="0">5+14+15</f>
        <v>34</v>
      </c>
      <c r="I8" s="11">
        <f>F8-(G8+H8)</f>
        <v>551.39999999999964</v>
      </c>
      <c r="J8" s="24">
        <v>551</v>
      </c>
      <c r="K8" s="27" t="s">
        <v>64</v>
      </c>
      <c r="L8" s="28">
        <v>551</v>
      </c>
      <c r="M8" s="29"/>
      <c r="N8" s="29"/>
      <c r="O8" s="48">
        <v>825.91800000000001</v>
      </c>
      <c r="P8" s="36">
        <f>O8*M2</f>
        <v>3634.0392000000002</v>
      </c>
      <c r="Q8" s="51">
        <f>O8-J8</f>
        <v>274.91800000000001</v>
      </c>
      <c r="R8" s="34"/>
      <c r="S8" s="16">
        <f>-(Q8*M2)</f>
        <v>-1209.6392000000001</v>
      </c>
    </row>
    <row r="9" spans="1:19" ht="39.75" hidden="1" customHeight="1" x14ac:dyDescent="0.25">
      <c r="A9" s="18">
        <v>44866</v>
      </c>
      <c r="B9" s="10">
        <v>2775.6</v>
      </c>
      <c r="C9" s="10">
        <v>1032.4000000000001</v>
      </c>
      <c r="D9" s="19" t="s">
        <v>21</v>
      </c>
      <c r="E9" s="10" t="s">
        <v>23</v>
      </c>
      <c r="F9" s="7">
        <v>6324.88</v>
      </c>
      <c r="G9" s="4">
        <f>5418+258+91</f>
        <v>5767</v>
      </c>
      <c r="H9" s="4">
        <f t="shared" si="0"/>
        <v>34</v>
      </c>
      <c r="I9" s="11">
        <f t="shared" ref="I9:I22" si="1">F9-(G9+H9)</f>
        <v>523.88000000000011</v>
      </c>
      <c r="J9" s="24">
        <v>524</v>
      </c>
      <c r="K9" s="27" t="s">
        <v>66</v>
      </c>
      <c r="L9" s="28">
        <v>524</v>
      </c>
      <c r="M9" s="29"/>
      <c r="N9" s="29"/>
      <c r="O9" s="48">
        <v>825.91800000000001</v>
      </c>
      <c r="P9" s="36">
        <f>O9*M2</f>
        <v>3634.0392000000002</v>
      </c>
      <c r="Q9" s="51">
        <f>O9-J9</f>
        <v>301.91800000000001</v>
      </c>
      <c r="R9" s="34"/>
      <c r="S9" s="16">
        <f>-(Q9*M2)</f>
        <v>-1328.4392</v>
      </c>
    </row>
    <row r="10" spans="1:19" ht="39.75" hidden="1" customHeight="1" x14ac:dyDescent="0.25">
      <c r="A10" s="18">
        <v>44896</v>
      </c>
      <c r="B10" s="4">
        <v>2775.6</v>
      </c>
      <c r="C10" s="4">
        <v>1032.4000000000001</v>
      </c>
      <c r="D10" s="19" t="s">
        <v>21</v>
      </c>
      <c r="E10" s="4" t="s">
        <v>23</v>
      </c>
      <c r="F10" s="4">
        <v>5603</v>
      </c>
      <c r="G10" s="4">
        <f>4766+228+78</f>
        <v>5072</v>
      </c>
      <c r="H10" s="4">
        <f t="shared" si="0"/>
        <v>34</v>
      </c>
      <c r="I10" s="6">
        <f t="shared" si="1"/>
        <v>497</v>
      </c>
      <c r="J10" s="24">
        <v>497</v>
      </c>
      <c r="K10" s="27" t="s">
        <v>67</v>
      </c>
      <c r="L10" s="28">
        <v>497</v>
      </c>
      <c r="M10" s="28"/>
      <c r="N10" s="28"/>
      <c r="O10" s="49">
        <v>825.91800000000001</v>
      </c>
      <c r="P10" s="38"/>
      <c r="Q10" s="51">
        <f>O10-J10</f>
        <v>328.91800000000001</v>
      </c>
      <c r="R10" s="34"/>
      <c r="S10" s="16">
        <f>-(Q10*M3)</f>
        <v>-1575.51722</v>
      </c>
    </row>
    <row r="11" spans="1:19" ht="31.5" hidden="1" customHeight="1" x14ac:dyDescent="0.25">
      <c r="A11" s="57">
        <v>44927</v>
      </c>
      <c r="B11" s="58">
        <v>2775.6</v>
      </c>
      <c r="C11" s="58">
        <v>1032.4000000000001</v>
      </c>
      <c r="D11" s="59" t="s">
        <v>21</v>
      </c>
      <c r="E11" s="58" t="s">
        <v>23</v>
      </c>
      <c r="F11" s="60">
        <v>6450.76</v>
      </c>
      <c r="G11" s="60">
        <f>6129+315+106</f>
        <v>6550</v>
      </c>
      <c r="H11" s="60">
        <f t="shared" si="0"/>
        <v>34</v>
      </c>
      <c r="I11" s="60">
        <f t="shared" si="1"/>
        <v>-133.23999999999978</v>
      </c>
      <c r="J11" s="61">
        <f>I11+133</f>
        <v>-0.23999999999978172</v>
      </c>
      <c r="K11" s="80" t="s">
        <v>76</v>
      </c>
      <c r="L11" s="62">
        <f>IF(J11&lt;0,0,I11)</f>
        <v>0</v>
      </c>
      <c r="M11" s="63"/>
      <c r="N11" s="63"/>
      <c r="O11" s="68">
        <v>825.91800000000001</v>
      </c>
      <c r="P11" s="65">
        <f>O11*M3</f>
        <v>3956.1472199999998</v>
      </c>
      <c r="Q11" s="66">
        <f>L11-O11</f>
        <v>-825.91800000000001</v>
      </c>
      <c r="R11" s="66"/>
      <c r="S11" s="67">
        <f>Q11*M3</f>
        <v>-3956.1472199999998</v>
      </c>
    </row>
    <row r="12" spans="1:19" ht="31.5" hidden="1" customHeight="1" x14ac:dyDescent="0.25">
      <c r="A12" s="57">
        <v>44958</v>
      </c>
      <c r="B12" s="58">
        <v>2775.6</v>
      </c>
      <c r="C12" s="58">
        <v>1032.4000000000001</v>
      </c>
      <c r="D12" s="59" t="s">
        <v>21</v>
      </c>
      <c r="E12" s="58" t="s">
        <v>23</v>
      </c>
      <c r="F12" s="60">
        <v>4350.3599999999997</v>
      </c>
      <c r="G12" s="60">
        <f>5043+244+87</f>
        <v>5374</v>
      </c>
      <c r="H12" s="60">
        <f t="shared" si="0"/>
        <v>34</v>
      </c>
      <c r="I12" s="60">
        <f t="shared" si="1"/>
        <v>-1057.6400000000003</v>
      </c>
      <c r="J12" s="61">
        <f t="shared" ref="J12:J22" si="2">I12</f>
        <v>-1057.6400000000003</v>
      </c>
      <c r="K12" s="80"/>
      <c r="L12" s="62">
        <f t="shared" ref="L12:L22" si="3">IF(J12&lt;0,0,I12)</f>
        <v>0</v>
      </c>
      <c r="M12" s="63"/>
      <c r="N12" s="63"/>
      <c r="O12" s="68">
        <v>825.91800000000001</v>
      </c>
      <c r="P12" s="65">
        <f>O12*M3</f>
        <v>3956.1472199999998</v>
      </c>
      <c r="Q12" s="66">
        <f t="shared" ref="Q12:Q22" si="4">L12-O12</f>
        <v>-825.91800000000001</v>
      </c>
      <c r="R12" s="66"/>
      <c r="S12" s="67">
        <f>Q12*M3</f>
        <v>-3956.1472199999998</v>
      </c>
    </row>
    <row r="13" spans="1:19" ht="31.5" hidden="1" customHeight="1" x14ac:dyDescent="0.25">
      <c r="A13" s="57">
        <v>44986</v>
      </c>
      <c r="B13" s="58">
        <v>2775.6</v>
      </c>
      <c r="C13" s="58">
        <v>1032.4000000000001</v>
      </c>
      <c r="D13" s="59" t="s">
        <v>21</v>
      </c>
      <c r="E13" s="58" t="s">
        <v>23</v>
      </c>
      <c r="F13" s="60">
        <v>6993.76</v>
      </c>
      <c r="G13" s="60">
        <f>5193+254+88</f>
        <v>5535</v>
      </c>
      <c r="H13" s="60">
        <f t="shared" si="0"/>
        <v>34</v>
      </c>
      <c r="I13" s="60">
        <f t="shared" si="1"/>
        <v>1424.7600000000002</v>
      </c>
      <c r="J13" s="61">
        <f>I13+J12</f>
        <v>367.11999999999989</v>
      </c>
      <c r="K13" s="80" t="s">
        <v>77</v>
      </c>
      <c r="L13" s="62">
        <f>J13</f>
        <v>367.11999999999989</v>
      </c>
      <c r="M13" s="63"/>
      <c r="N13" s="63"/>
      <c r="O13" s="68">
        <v>825.91800000000001</v>
      </c>
      <c r="P13" s="65">
        <f>O13*M3</f>
        <v>3956.1472199999998</v>
      </c>
      <c r="Q13" s="66">
        <f t="shared" si="4"/>
        <v>-458.79800000000012</v>
      </c>
      <c r="R13" s="66"/>
      <c r="S13" s="67">
        <f>Q13*M3</f>
        <v>-2197.6424200000006</v>
      </c>
    </row>
    <row r="14" spans="1:19" ht="31.5" hidden="1" customHeight="1" x14ac:dyDescent="0.25">
      <c r="A14" s="57">
        <v>45017</v>
      </c>
      <c r="B14" s="58">
        <v>2775.6</v>
      </c>
      <c r="C14" s="58">
        <v>1032.4000000000001</v>
      </c>
      <c r="D14" s="59" t="s">
        <v>21</v>
      </c>
      <c r="E14" s="58" t="s">
        <v>23</v>
      </c>
      <c r="F14" s="60">
        <v>5721.48</v>
      </c>
      <c r="G14" s="60">
        <f>5596+273+101</f>
        <v>5970</v>
      </c>
      <c r="H14" s="60">
        <f t="shared" si="0"/>
        <v>34</v>
      </c>
      <c r="I14" s="60">
        <f t="shared" si="1"/>
        <v>-282.52000000000044</v>
      </c>
      <c r="J14" s="61">
        <f t="shared" si="2"/>
        <v>-282.52000000000044</v>
      </c>
      <c r="K14" s="80" t="s">
        <v>78</v>
      </c>
      <c r="L14" s="62">
        <f t="shared" si="3"/>
        <v>0</v>
      </c>
      <c r="M14" s="63"/>
      <c r="N14" s="63"/>
      <c r="O14" s="68">
        <v>825.91800000000001</v>
      </c>
      <c r="P14" s="65">
        <f>O14*M3</f>
        <v>3956.1472199999998</v>
      </c>
      <c r="Q14" s="66">
        <f t="shared" si="4"/>
        <v>-825.91800000000001</v>
      </c>
      <c r="R14" s="66"/>
      <c r="S14" s="67">
        <f>Q14*M3</f>
        <v>-3956.1472199999998</v>
      </c>
    </row>
    <row r="15" spans="1:19" ht="31.5" hidden="1" customHeight="1" x14ac:dyDescent="0.25">
      <c r="A15" s="57">
        <v>45047</v>
      </c>
      <c r="B15" s="58">
        <v>2775.6</v>
      </c>
      <c r="C15" s="58">
        <v>1032.4000000000001</v>
      </c>
      <c r="D15" s="59" t="s">
        <v>21</v>
      </c>
      <c r="E15" s="58" t="s">
        <v>23</v>
      </c>
      <c r="F15" s="60">
        <v>6598.36</v>
      </c>
      <c r="G15" s="60">
        <f>5805+267+105</f>
        <v>6177</v>
      </c>
      <c r="H15" s="60">
        <f t="shared" si="0"/>
        <v>34</v>
      </c>
      <c r="I15" s="60">
        <f t="shared" si="1"/>
        <v>387.35999999999967</v>
      </c>
      <c r="J15" s="61">
        <f>I15+J14</f>
        <v>104.83999999999924</v>
      </c>
      <c r="K15" s="80" t="s">
        <v>79</v>
      </c>
      <c r="L15" s="62">
        <f>J15</f>
        <v>104.83999999999924</v>
      </c>
      <c r="M15" s="63"/>
      <c r="N15" s="63"/>
      <c r="O15" s="68">
        <v>825.91800000000001</v>
      </c>
      <c r="P15" s="65">
        <f>O15*M3</f>
        <v>3956.1472199999998</v>
      </c>
      <c r="Q15" s="66">
        <f t="shared" si="4"/>
        <v>-721.07800000000077</v>
      </c>
      <c r="R15" s="66"/>
      <c r="S15" s="67">
        <f>Q15*M3</f>
        <v>-3453.9636200000036</v>
      </c>
    </row>
    <row r="16" spans="1:19" ht="31.5" hidden="1" customHeight="1" x14ac:dyDescent="0.25">
      <c r="A16" s="57">
        <v>45078</v>
      </c>
      <c r="B16" s="58">
        <v>2775.6</v>
      </c>
      <c r="C16" s="58">
        <v>1032.4000000000001</v>
      </c>
      <c r="D16" s="59" t="s">
        <v>21</v>
      </c>
      <c r="E16" s="58" t="s">
        <v>23</v>
      </c>
      <c r="F16" s="60">
        <v>5755.36</v>
      </c>
      <c r="G16" s="60">
        <f>5290+288+76</f>
        <v>5654</v>
      </c>
      <c r="H16" s="60">
        <f t="shared" si="0"/>
        <v>34</v>
      </c>
      <c r="I16" s="60">
        <f t="shared" si="1"/>
        <v>67.359999999999673</v>
      </c>
      <c r="J16" s="61">
        <f t="shared" si="2"/>
        <v>67.359999999999673</v>
      </c>
      <c r="K16" s="80" t="s">
        <v>80</v>
      </c>
      <c r="L16" s="62">
        <f t="shared" si="3"/>
        <v>67.359999999999673</v>
      </c>
      <c r="M16" s="63"/>
      <c r="N16" s="63"/>
      <c r="O16" s="68">
        <v>825.91800000000001</v>
      </c>
      <c r="P16" s="65">
        <f>O16*M3</f>
        <v>3956.1472199999998</v>
      </c>
      <c r="Q16" s="66">
        <f t="shared" si="4"/>
        <v>-758.55800000000033</v>
      </c>
      <c r="R16" s="66"/>
      <c r="S16" s="67">
        <f>Q16*M3</f>
        <v>-3633.4928200000018</v>
      </c>
    </row>
    <row r="17" spans="1:19" ht="31.5" hidden="1" customHeight="1" x14ac:dyDescent="0.25">
      <c r="A17" s="57">
        <v>45108</v>
      </c>
      <c r="B17" s="58">
        <v>2775.6</v>
      </c>
      <c r="C17" s="58">
        <v>1032.4000000000001</v>
      </c>
      <c r="D17" s="59" t="s">
        <v>21</v>
      </c>
      <c r="E17" s="58" t="s">
        <v>23</v>
      </c>
      <c r="F17" s="60">
        <v>4856.04</v>
      </c>
      <c r="G17" s="60">
        <f>4797+203+78</f>
        <v>5078</v>
      </c>
      <c r="H17" s="60">
        <f t="shared" si="0"/>
        <v>34</v>
      </c>
      <c r="I17" s="60">
        <f t="shared" si="1"/>
        <v>-255.96000000000004</v>
      </c>
      <c r="J17" s="61">
        <f t="shared" si="2"/>
        <v>-255.96000000000004</v>
      </c>
      <c r="K17" s="80" t="s">
        <v>81</v>
      </c>
      <c r="L17" s="62">
        <f t="shared" si="3"/>
        <v>0</v>
      </c>
      <c r="M17" s="63"/>
      <c r="N17" s="63"/>
      <c r="O17" s="68">
        <v>825.91800000000001</v>
      </c>
      <c r="P17" s="65">
        <f>O17*M3</f>
        <v>3956.1472199999998</v>
      </c>
      <c r="Q17" s="66">
        <f t="shared" si="4"/>
        <v>-825.91800000000001</v>
      </c>
      <c r="R17" s="66"/>
      <c r="S17" s="67">
        <f>Q17*M3</f>
        <v>-3956.1472199999998</v>
      </c>
    </row>
    <row r="18" spans="1:19" ht="31.5" hidden="1" customHeight="1" x14ac:dyDescent="0.25">
      <c r="A18" s="57">
        <v>45139</v>
      </c>
      <c r="B18" s="58">
        <v>2775.6</v>
      </c>
      <c r="C18" s="58">
        <v>1032.4000000000001</v>
      </c>
      <c r="D18" s="59" t="s">
        <v>21</v>
      </c>
      <c r="E18" s="58" t="s">
        <v>23</v>
      </c>
      <c r="F18" s="60">
        <v>6010.6</v>
      </c>
      <c r="G18" s="60">
        <f>5253+216+79</f>
        <v>5548</v>
      </c>
      <c r="H18" s="60">
        <f t="shared" si="0"/>
        <v>34</v>
      </c>
      <c r="I18" s="60">
        <f t="shared" si="1"/>
        <v>428.60000000000036</v>
      </c>
      <c r="J18" s="61">
        <f>I18+J17</f>
        <v>172.64000000000033</v>
      </c>
      <c r="K18" s="80" t="s">
        <v>82</v>
      </c>
      <c r="L18" s="62">
        <f>J18</f>
        <v>172.64000000000033</v>
      </c>
      <c r="M18" s="63"/>
      <c r="N18" s="63"/>
      <c r="O18" s="68">
        <v>825.91800000000001</v>
      </c>
      <c r="P18" s="65">
        <f>O18*M3</f>
        <v>3956.1472199999998</v>
      </c>
      <c r="Q18" s="66">
        <f t="shared" si="4"/>
        <v>-653.27799999999968</v>
      </c>
      <c r="R18" s="66"/>
      <c r="S18" s="67">
        <f>Q18*M3</f>
        <v>-3129.2016199999985</v>
      </c>
    </row>
    <row r="19" spans="1:19" ht="31.5" hidden="1" customHeight="1" x14ac:dyDescent="0.25">
      <c r="A19" s="57">
        <v>45170</v>
      </c>
      <c r="B19" s="58">
        <v>2775.6</v>
      </c>
      <c r="C19" s="58">
        <v>1032.4000000000001</v>
      </c>
      <c r="D19" s="59" t="s">
        <v>21</v>
      </c>
      <c r="E19" s="58" t="s">
        <v>23</v>
      </c>
      <c r="F19" s="60">
        <v>5769</v>
      </c>
      <c r="G19" s="60">
        <f>5352+220+77</f>
        <v>5649</v>
      </c>
      <c r="H19" s="60">
        <f t="shared" si="0"/>
        <v>34</v>
      </c>
      <c r="I19" s="60">
        <f t="shared" si="1"/>
        <v>86</v>
      </c>
      <c r="J19" s="61">
        <f t="shared" si="2"/>
        <v>86</v>
      </c>
      <c r="K19" s="80" t="s">
        <v>83</v>
      </c>
      <c r="L19" s="62">
        <f t="shared" si="3"/>
        <v>86</v>
      </c>
      <c r="M19" s="63"/>
      <c r="N19" s="63"/>
      <c r="O19" s="68">
        <v>825.91800000000001</v>
      </c>
      <c r="P19" s="65">
        <f>O19*M3</f>
        <v>3956.1472199999998</v>
      </c>
      <c r="Q19" s="66">
        <f t="shared" si="4"/>
        <v>-739.91800000000001</v>
      </c>
      <c r="R19" s="66"/>
      <c r="S19" s="67">
        <f>Q19*M3</f>
        <v>-3544.2072200000002</v>
      </c>
    </row>
    <row r="20" spans="1:19" ht="31.5" hidden="1" customHeight="1" x14ac:dyDescent="0.25">
      <c r="A20" s="57">
        <v>45200</v>
      </c>
      <c r="B20" s="58">
        <v>2775.6</v>
      </c>
      <c r="C20" s="58">
        <v>1032.4000000000001</v>
      </c>
      <c r="D20" s="59" t="s">
        <v>21</v>
      </c>
      <c r="E20" s="58" t="s">
        <v>23</v>
      </c>
      <c r="F20" s="60">
        <v>6315.96</v>
      </c>
      <c r="G20" s="60">
        <f>5605+250+85</f>
        <v>5940</v>
      </c>
      <c r="H20" s="60">
        <f t="shared" si="0"/>
        <v>34</v>
      </c>
      <c r="I20" s="60">
        <f t="shared" si="1"/>
        <v>341.96000000000004</v>
      </c>
      <c r="J20" s="61">
        <f t="shared" si="2"/>
        <v>341.96000000000004</v>
      </c>
      <c r="K20" s="80" t="s">
        <v>84</v>
      </c>
      <c r="L20" s="62">
        <f t="shared" si="3"/>
        <v>341.96000000000004</v>
      </c>
      <c r="M20" s="63"/>
      <c r="N20" s="63"/>
      <c r="O20" s="68">
        <v>825.91800000000001</v>
      </c>
      <c r="P20" s="65">
        <f>O20*M3</f>
        <v>3956.1472199999998</v>
      </c>
      <c r="Q20" s="66">
        <f t="shared" si="4"/>
        <v>-483.95799999999997</v>
      </c>
      <c r="R20" s="66"/>
      <c r="S20" s="67">
        <f>S17+S18</f>
        <v>-7085.3488399999987</v>
      </c>
    </row>
    <row r="21" spans="1:19" ht="31.5" hidden="1" customHeight="1" x14ac:dyDescent="0.25">
      <c r="A21" s="57">
        <v>45231</v>
      </c>
      <c r="B21" s="58">
        <v>2775.6</v>
      </c>
      <c r="C21" s="58">
        <v>1032.4000000000001</v>
      </c>
      <c r="D21" s="59" t="s">
        <v>21</v>
      </c>
      <c r="E21" s="58" t="s">
        <v>23</v>
      </c>
      <c r="F21" s="60">
        <v>5984.72</v>
      </c>
      <c r="G21" s="60">
        <f>5463+222+77</f>
        <v>5762</v>
      </c>
      <c r="H21" s="60">
        <f t="shared" si="0"/>
        <v>34</v>
      </c>
      <c r="I21" s="60">
        <f t="shared" si="1"/>
        <v>188.72000000000025</v>
      </c>
      <c r="J21" s="61">
        <f t="shared" si="2"/>
        <v>188.72000000000025</v>
      </c>
      <c r="K21" s="80" t="s">
        <v>85</v>
      </c>
      <c r="L21" s="62">
        <f t="shared" si="3"/>
        <v>188.72000000000025</v>
      </c>
      <c r="M21" s="63"/>
      <c r="N21" s="63"/>
      <c r="O21" s="68">
        <v>825.91800000000001</v>
      </c>
      <c r="P21" s="65">
        <f>O21*M3</f>
        <v>3956.1472199999998</v>
      </c>
      <c r="Q21" s="66">
        <f t="shared" si="4"/>
        <v>-637.19799999999975</v>
      </c>
      <c r="R21" s="66"/>
      <c r="S21" s="67">
        <f>Q21*M3</f>
        <v>-3052.1784199999988</v>
      </c>
    </row>
    <row r="22" spans="1:19" ht="31.5" hidden="1" customHeight="1" x14ac:dyDescent="0.25">
      <c r="A22" s="57">
        <v>45261</v>
      </c>
      <c r="B22" s="58">
        <v>2775.6</v>
      </c>
      <c r="C22" s="58">
        <v>1032.4000000000001</v>
      </c>
      <c r="D22" s="59" t="s">
        <v>21</v>
      </c>
      <c r="E22" s="58" t="s">
        <v>23</v>
      </c>
      <c r="F22" s="60">
        <v>5544.24</v>
      </c>
      <c r="G22" s="60">
        <f>4730+244+80</f>
        <v>5054</v>
      </c>
      <c r="H22" s="60">
        <f t="shared" si="0"/>
        <v>34</v>
      </c>
      <c r="I22" s="60">
        <f t="shared" si="1"/>
        <v>456.23999999999978</v>
      </c>
      <c r="J22" s="61">
        <f t="shared" si="2"/>
        <v>456.23999999999978</v>
      </c>
      <c r="K22" s="81" t="s">
        <v>86</v>
      </c>
      <c r="L22" s="62">
        <f t="shared" si="3"/>
        <v>456.23999999999978</v>
      </c>
      <c r="M22" s="63"/>
      <c r="N22" s="63"/>
      <c r="O22" s="68">
        <v>825.91800000000001</v>
      </c>
      <c r="P22" s="65">
        <f>O22*M3</f>
        <v>3956.1472199999998</v>
      </c>
      <c r="Q22" s="66">
        <f t="shared" si="4"/>
        <v>-369.67800000000022</v>
      </c>
      <c r="R22" s="66"/>
      <c r="S22" s="67">
        <f>Q22*M3</f>
        <v>-1770.757620000001</v>
      </c>
    </row>
    <row r="23" spans="1:19" s="20" customFormat="1" ht="31.5" hidden="1" customHeight="1" x14ac:dyDescent="0.25">
      <c r="A23" s="75"/>
      <c r="L23" s="20">
        <f>SUM(L11:L22)</f>
        <v>1784.8799999999992</v>
      </c>
      <c r="O23" s="20">
        <f>SUM(O11:O22)</f>
        <v>9911.0159999999978</v>
      </c>
      <c r="P23" s="20">
        <f>SUM(P11:P22)</f>
        <v>47473.766639999994</v>
      </c>
      <c r="R23" s="20">
        <f>SUM(Q11:R22)</f>
        <v>-8126.1359999999986</v>
      </c>
      <c r="S23" s="20">
        <f>SUM(S11:S22)</f>
        <v>-43691.381460000004</v>
      </c>
    </row>
    <row r="24" spans="1:19" s="20" customFormat="1" ht="31.5" hidden="1" customHeight="1" x14ac:dyDescent="0.25">
      <c r="A24" s="75"/>
      <c r="L24" s="20">
        <f>L23*M3</f>
        <v>8549.5751999999957</v>
      </c>
    </row>
    <row r="25" spans="1:19" ht="31.5" hidden="1" customHeight="1" x14ac:dyDescent="0.25"/>
    <row r="26" spans="1:19" ht="31.5" hidden="1" customHeight="1" x14ac:dyDescent="0.25">
      <c r="A26" s="57">
        <v>45292</v>
      </c>
      <c r="B26" s="58">
        <v>2775.6</v>
      </c>
      <c r="C26" s="58">
        <v>1032.4000000000001</v>
      </c>
      <c r="D26" s="59" t="s">
        <v>21</v>
      </c>
      <c r="E26" s="58" t="s">
        <v>23</v>
      </c>
      <c r="F26" s="60">
        <v>6501</v>
      </c>
      <c r="G26" s="60">
        <f>374+115+6293</f>
        <v>6782</v>
      </c>
      <c r="H26" s="60">
        <f t="shared" ref="H26:H31" si="5">5+14+15</f>
        <v>34</v>
      </c>
      <c r="I26" s="60">
        <f t="shared" ref="I26:I37" si="6">F26-(G26+H26)</f>
        <v>-315</v>
      </c>
      <c r="J26" s="61">
        <f t="shared" ref="J26:J31" si="7">I26</f>
        <v>-315</v>
      </c>
      <c r="K26" s="84" t="s">
        <v>87</v>
      </c>
      <c r="L26" s="62">
        <f>IF(J26&lt;0,0,I26)</f>
        <v>0</v>
      </c>
      <c r="M26" s="63"/>
      <c r="N26" s="63"/>
      <c r="O26" s="68">
        <v>825.91800000000001</v>
      </c>
      <c r="P26" s="65">
        <f>O26*O2</f>
        <v>3956.1472199999998</v>
      </c>
      <c r="Q26" s="66">
        <f>L26-O26</f>
        <v>-825.91800000000001</v>
      </c>
      <c r="R26" s="66"/>
      <c r="S26" s="67">
        <f>Q26*O2</f>
        <v>-3956.1472199999998</v>
      </c>
    </row>
    <row r="27" spans="1:19" ht="31.5" hidden="1" customHeight="1" x14ac:dyDescent="0.25">
      <c r="A27" s="57">
        <v>45323</v>
      </c>
      <c r="B27" s="58">
        <v>2775.6</v>
      </c>
      <c r="C27" s="58">
        <v>1032.4000000000001</v>
      </c>
      <c r="D27" s="59" t="s">
        <v>21</v>
      </c>
      <c r="E27" s="58" t="s">
        <v>23</v>
      </c>
      <c r="F27" s="60">
        <v>5690</v>
      </c>
      <c r="G27" s="60">
        <f>4829+186+73</f>
        <v>5088</v>
      </c>
      <c r="H27" s="60">
        <f t="shared" si="5"/>
        <v>34</v>
      </c>
      <c r="I27" s="60">
        <f t="shared" si="6"/>
        <v>568</v>
      </c>
      <c r="J27" s="61">
        <f t="shared" si="7"/>
        <v>568</v>
      </c>
      <c r="K27" s="85" t="s">
        <v>88</v>
      </c>
      <c r="L27" s="62">
        <f t="shared" ref="L27" si="8">IF(J27&lt;0,0,I27)</f>
        <v>568</v>
      </c>
      <c r="M27" s="63"/>
      <c r="N27" s="63"/>
      <c r="O27" s="68">
        <v>825.91800000000001</v>
      </c>
      <c r="P27" s="65">
        <f>O27*O2</f>
        <v>3956.1472199999998</v>
      </c>
      <c r="Q27" s="66">
        <f t="shared" ref="Q27:Q36" si="9">L27-O27</f>
        <v>-257.91800000000001</v>
      </c>
      <c r="R27" s="66"/>
      <c r="S27" s="67">
        <f>Q27*O2</f>
        <v>-1235.42722</v>
      </c>
    </row>
    <row r="28" spans="1:19" ht="31.5" hidden="1" customHeight="1" x14ac:dyDescent="0.25">
      <c r="A28" s="57">
        <v>45352</v>
      </c>
      <c r="B28" s="58">
        <v>2775.6</v>
      </c>
      <c r="C28" s="58">
        <v>1032.4000000000001</v>
      </c>
      <c r="D28" s="59" t="s">
        <v>21</v>
      </c>
      <c r="E28" s="58" t="s">
        <v>23</v>
      </c>
      <c r="F28" s="60">
        <v>5716</v>
      </c>
      <c r="G28" s="60">
        <f>5224+277+93</f>
        <v>5594</v>
      </c>
      <c r="H28" s="60">
        <f t="shared" si="5"/>
        <v>34</v>
      </c>
      <c r="I28" s="60">
        <f>F28-(G28+H28)</f>
        <v>88</v>
      </c>
      <c r="J28" s="61">
        <f t="shared" si="7"/>
        <v>88</v>
      </c>
      <c r="K28" s="83" t="s">
        <v>89</v>
      </c>
      <c r="L28" s="62">
        <f>IF(J28&lt;0,0,I28)</f>
        <v>88</v>
      </c>
      <c r="M28" s="63"/>
      <c r="N28" s="63"/>
      <c r="O28" s="68">
        <v>825.91800000000001</v>
      </c>
      <c r="P28" s="65">
        <f>O28*O2</f>
        <v>3956.1472199999998</v>
      </c>
      <c r="Q28" s="66">
        <f t="shared" si="9"/>
        <v>-737.91800000000001</v>
      </c>
      <c r="R28" s="66"/>
      <c r="S28" s="67">
        <f>Q28*O2</f>
        <v>-3534.6272199999999</v>
      </c>
    </row>
    <row r="29" spans="1:19" ht="31.5" hidden="1" customHeight="1" x14ac:dyDescent="0.25">
      <c r="A29" s="57">
        <v>45383</v>
      </c>
      <c r="B29" s="58">
        <v>2775.6</v>
      </c>
      <c r="C29" s="58">
        <v>1032.4000000000001</v>
      </c>
      <c r="D29" s="59" t="s">
        <v>21</v>
      </c>
      <c r="E29" s="58" t="s">
        <v>23</v>
      </c>
      <c r="F29" s="60">
        <v>6434</v>
      </c>
      <c r="G29" s="60">
        <f>5951+282+95</f>
        <v>6328</v>
      </c>
      <c r="H29" s="60">
        <f t="shared" si="5"/>
        <v>34</v>
      </c>
      <c r="I29" s="60">
        <f>F29-(G29+H29)</f>
        <v>72</v>
      </c>
      <c r="J29" s="61">
        <f t="shared" si="7"/>
        <v>72</v>
      </c>
      <c r="K29" s="80" t="s">
        <v>90</v>
      </c>
      <c r="L29" s="62">
        <f>IF(J29&lt;0,0,I29)</f>
        <v>72</v>
      </c>
      <c r="M29" s="63"/>
      <c r="N29" s="63"/>
      <c r="O29" s="68">
        <v>825.91800000000001</v>
      </c>
      <c r="P29" s="65">
        <f>O29*O2</f>
        <v>3956.1472199999998</v>
      </c>
      <c r="Q29" s="66">
        <f t="shared" si="9"/>
        <v>-753.91800000000001</v>
      </c>
      <c r="R29" s="66"/>
      <c r="S29" s="67">
        <f>Q29*O2</f>
        <v>-3611.2672200000002</v>
      </c>
    </row>
    <row r="30" spans="1:19" ht="31.5" hidden="1" customHeight="1" x14ac:dyDescent="0.25">
      <c r="A30" s="57">
        <v>45413</v>
      </c>
      <c r="B30" s="58">
        <v>2775.6</v>
      </c>
      <c r="C30" s="58">
        <v>1032.4000000000001</v>
      </c>
      <c r="D30" s="59" t="s">
        <v>21</v>
      </c>
      <c r="E30" s="58" t="s">
        <v>23</v>
      </c>
      <c r="F30" s="60">
        <v>5477</v>
      </c>
      <c r="G30" s="60">
        <f>5424+234+77</f>
        <v>5735</v>
      </c>
      <c r="H30" s="60">
        <f t="shared" si="5"/>
        <v>34</v>
      </c>
      <c r="I30" s="60">
        <f>F30-(G30+H30)</f>
        <v>-292</v>
      </c>
      <c r="J30" s="61">
        <f t="shared" si="7"/>
        <v>-292</v>
      </c>
      <c r="K30" s="80" t="s">
        <v>91</v>
      </c>
      <c r="L30" s="62">
        <v>0</v>
      </c>
      <c r="M30" s="63"/>
      <c r="N30" s="63"/>
      <c r="O30" s="68">
        <v>825.91800000000001</v>
      </c>
      <c r="P30" s="65">
        <f>O30*O2</f>
        <v>3956.1472199999998</v>
      </c>
      <c r="Q30" s="66">
        <f t="shared" si="9"/>
        <v>-825.91800000000001</v>
      </c>
      <c r="R30" s="66"/>
      <c r="S30" s="67">
        <f>Q30*O2</f>
        <v>-3956.1472199999998</v>
      </c>
    </row>
    <row r="31" spans="1:19" ht="31.5" hidden="1" customHeight="1" x14ac:dyDescent="0.25">
      <c r="A31" s="57">
        <v>45444</v>
      </c>
      <c r="B31" s="58">
        <v>2775.6</v>
      </c>
      <c r="C31" s="58">
        <v>1032.4000000000001</v>
      </c>
      <c r="D31" s="59" t="s">
        <v>21</v>
      </c>
      <c r="E31" s="58" t="s">
        <v>23</v>
      </c>
      <c r="F31" s="60">
        <v>6100</v>
      </c>
      <c r="G31" s="60">
        <f>5014+341+95</f>
        <v>5450</v>
      </c>
      <c r="H31" s="60">
        <f t="shared" si="5"/>
        <v>34</v>
      </c>
      <c r="I31" s="60">
        <f>F31-(G31+H31)</f>
        <v>616</v>
      </c>
      <c r="J31" s="61">
        <f t="shared" si="7"/>
        <v>616</v>
      </c>
      <c r="K31" s="80" t="s">
        <v>92</v>
      </c>
      <c r="L31" s="62">
        <f>IF(J31&lt;0,0,I31)</f>
        <v>616</v>
      </c>
      <c r="M31" s="63"/>
      <c r="N31" s="63"/>
      <c r="O31" s="68">
        <v>825.91800000000001</v>
      </c>
      <c r="P31" s="65">
        <f>O31*O2</f>
        <v>3956.1472199999998</v>
      </c>
      <c r="Q31" s="66">
        <f t="shared" si="9"/>
        <v>-209.91800000000001</v>
      </c>
      <c r="R31" s="66"/>
      <c r="S31" s="67">
        <f>Q31*O2</f>
        <v>-1005.5072200000001</v>
      </c>
    </row>
    <row r="32" spans="1:19" ht="31.5" hidden="1" customHeight="1" x14ac:dyDescent="0.25">
      <c r="A32" s="57">
        <v>45474</v>
      </c>
      <c r="B32" s="58">
        <v>2775.6</v>
      </c>
      <c r="C32" s="58">
        <v>1032.4000000000001</v>
      </c>
      <c r="D32" s="59" t="s">
        <v>21</v>
      </c>
      <c r="E32" s="58" t="s">
        <v>23</v>
      </c>
      <c r="F32" s="60">
        <v>5662</v>
      </c>
      <c r="G32" s="60">
        <f>4800+219+79</f>
        <v>5098</v>
      </c>
      <c r="H32" s="60">
        <f t="shared" ref="H32:H37" si="10">5+14+15</f>
        <v>34</v>
      </c>
      <c r="I32" s="60">
        <f>F32-(G32+H32)</f>
        <v>530</v>
      </c>
      <c r="J32" s="61">
        <f t="shared" ref="J32" si="11">I32</f>
        <v>530</v>
      </c>
      <c r="K32" s="80" t="s">
        <v>93</v>
      </c>
      <c r="L32" s="62">
        <f t="shared" ref="L32" si="12">IF(J32&lt;0,0,I32)</f>
        <v>530</v>
      </c>
      <c r="M32" s="63"/>
      <c r="N32" s="63"/>
      <c r="O32" s="68">
        <v>825.91800000000001</v>
      </c>
      <c r="P32" s="65">
        <f>O32*O3</f>
        <v>4303.0327800000005</v>
      </c>
      <c r="Q32" s="66">
        <f t="shared" si="9"/>
        <v>-295.91800000000001</v>
      </c>
      <c r="R32" s="66"/>
      <c r="S32" s="67">
        <f>Q32*O3</f>
        <v>-1541.73278</v>
      </c>
    </row>
    <row r="33" spans="1:19" ht="31.5" hidden="1" customHeight="1" x14ac:dyDescent="0.25">
      <c r="A33" s="57">
        <v>45505</v>
      </c>
      <c r="B33" s="58">
        <v>2775.6</v>
      </c>
      <c r="C33" s="58">
        <v>1032.4000000000001</v>
      </c>
      <c r="D33" s="59" t="s">
        <v>21</v>
      </c>
      <c r="E33" s="58" t="s">
        <v>23</v>
      </c>
      <c r="F33" s="60">
        <v>5613</v>
      </c>
      <c r="G33" s="60">
        <f>5104+243+84</f>
        <v>5431</v>
      </c>
      <c r="H33" s="60">
        <f t="shared" si="10"/>
        <v>34</v>
      </c>
      <c r="I33" s="60">
        <f t="shared" si="6"/>
        <v>148</v>
      </c>
      <c r="J33" s="61">
        <f>I33</f>
        <v>148</v>
      </c>
      <c r="K33" s="80" t="s">
        <v>94</v>
      </c>
      <c r="L33" s="62">
        <f>J33</f>
        <v>148</v>
      </c>
      <c r="M33" s="63"/>
      <c r="N33" s="63"/>
      <c r="O33" s="68">
        <v>825.91800000000001</v>
      </c>
      <c r="P33" s="65">
        <f>O33*O3</f>
        <v>4303.0327800000005</v>
      </c>
      <c r="Q33" s="66">
        <f t="shared" si="9"/>
        <v>-677.91800000000001</v>
      </c>
      <c r="R33" s="66"/>
      <c r="S33" s="67">
        <f>Q33*O3</f>
        <v>-3531.9527800000001</v>
      </c>
    </row>
    <row r="34" spans="1:19" ht="31.5" hidden="1" customHeight="1" x14ac:dyDescent="0.25">
      <c r="A34" s="57">
        <v>45536</v>
      </c>
      <c r="B34" s="58">
        <v>2775.6</v>
      </c>
      <c r="C34" s="58">
        <v>1032.4000000000001</v>
      </c>
      <c r="D34" s="59" t="s">
        <v>21</v>
      </c>
      <c r="E34" s="58" t="s">
        <v>23</v>
      </c>
      <c r="F34" s="60">
        <v>5015</v>
      </c>
      <c r="G34" s="60">
        <f>4824+241+83</f>
        <v>5148</v>
      </c>
      <c r="H34" s="60">
        <f t="shared" si="10"/>
        <v>34</v>
      </c>
      <c r="I34" s="60">
        <f t="shared" si="6"/>
        <v>-167</v>
      </c>
      <c r="J34" s="61">
        <f t="shared" ref="J34:J37" si="13">I34</f>
        <v>-167</v>
      </c>
      <c r="K34" s="80" t="s">
        <v>95</v>
      </c>
      <c r="L34" s="62">
        <f t="shared" ref="L34:L37" si="14">IF(J34&lt;0,0,I34)</f>
        <v>0</v>
      </c>
      <c r="M34" s="63"/>
      <c r="N34" s="63"/>
      <c r="O34" s="68">
        <v>825.91800000000001</v>
      </c>
      <c r="P34" s="65">
        <f>O34*O3</f>
        <v>4303.0327800000005</v>
      </c>
      <c r="Q34" s="66">
        <f t="shared" si="9"/>
        <v>-825.91800000000001</v>
      </c>
      <c r="R34" s="66"/>
      <c r="S34" s="67">
        <f>Q34*O3</f>
        <v>-4303.0327800000005</v>
      </c>
    </row>
    <row r="35" spans="1:19" ht="31.5" hidden="1" customHeight="1" x14ac:dyDescent="0.25">
      <c r="A35" s="57">
        <v>45566</v>
      </c>
      <c r="B35" s="58">
        <v>2775.6</v>
      </c>
      <c r="C35" s="58">
        <v>1032.4000000000001</v>
      </c>
      <c r="D35" s="59" t="s">
        <v>21</v>
      </c>
      <c r="E35" s="58" t="s">
        <v>23</v>
      </c>
      <c r="F35" s="60">
        <v>6455</v>
      </c>
      <c r="G35" s="60">
        <f>5214+299+94</f>
        <v>5607</v>
      </c>
      <c r="H35" s="60">
        <f t="shared" si="10"/>
        <v>34</v>
      </c>
      <c r="I35" s="60">
        <f>F35-(G35+H35)</f>
        <v>814</v>
      </c>
      <c r="J35" s="61">
        <f t="shared" si="13"/>
        <v>814</v>
      </c>
      <c r="K35" s="80" t="s">
        <v>96</v>
      </c>
      <c r="L35" s="62">
        <f t="shared" si="14"/>
        <v>814</v>
      </c>
      <c r="M35" s="63"/>
      <c r="N35" s="63"/>
      <c r="O35" s="68">
        <v>825.91800000000001</v>
      </c>
      <c r="P35" s="65">
        <f>O35*O3</f>
        <v>4303.0327800000005</v>
      </c>
      <c r="Q35" s="66">
        <f t="shared" si="9"/>
        <v>-11.918000000000006</v>
      </c>
      <c r="R35" s="66"/>
      <c r="S35" s="67">
        <f>Q35*O3</f>
        <v>-62.092780000000033</v>
      </c>
    </row>
    <row r="36" spans="1:19" ht="31.5" hidden="1" customHeight="1" x14ac:dyDescent="0.25">
      <c r="A36" s="57">
        <v>45597</v>
      </c>
      <c r="B36" s="58">
        <v>2775.6</v>
      </c>
      <c r="C36" s="58">
        <v>1032.4000000000001</v>
      </c>
      <c r="D36" s="59" t="s">
        <v>21</v>
      </c>
      <c r="E36" s="58" t="s">
        <v>23</v>
      </c>
      <c r="F36" s="60">
        <v>5662</v>
      </c>
      <c r="G36" s="60">
        <f>5394+284+88</f>
        <v>5766</v>
      </c>
      <c r="H36" s="60">
        <f t="shared" si="10"/>
        <v>34</v>
      </c>
      <c r="I36" s="60">
        <f t="shared" si="6"/>
        <v>-138</v>
      </c>
      <c r="J36" s="61">
        <f t="shared" si="13"/>
        <v>-138</v>
      </c>
      <c r="K36" s="80" t="s">
        <v>97</v>
      </c>
      <c r="L36" s="62">
        <f t="shared" si="14"/>
        <v>0</v>
      </c>
      <c r="M36" s="63"/>
      <c r="N36" s="63"/>
      <c r="O36" s="68">
        <v>825.91800000000001</v>
      </c>
      <c r="P36" s="65">
        <f>O36*O3</f>
        <v>4303.0327800000005</v>
      </c>
      <c r="Q36" s="66">
        <f t="shared" si="9"/>
        <v>-825.91800000000001</v>
      </c>
      <c r="R36" s="66"/>
      <c r="S36" s="67">
        <f>Q36*O3</f>
        <v>-4303.0327800000005</v>
      </c>
    </row>
    <row r="37" spans="1:19" ht="31.5" hidden="1" customHeight="1" x14ac:dyDescent="0.25">
      <c r="A37" s="57">
        <v>45627</v>
      </c>
      <c r="B37" s="58">
        <v>2775.6</v>
      </c>
      <c r="C37" s="58">
        <v>1032.4000000000001</v>
      </c>
      <c r="D37" s="59" t="s">
        <v>21</v>
      </c>
      <c r="E37" s="58" t="s">
        <v>23</v>
      </c>
      <c r="F37" s="60">
        <v>5825</v>
      </c>
      <c r="G37" s="60">
        <f>4162+236+77</f>
        <v>4475</v>
      </c>
      <c r="H37" s="60">
        <f t="shared" si="10"/>
        <v>34</v>
      </c>
      <c r="I37" s="60">
        <f t="shared" si="6"/>
        <v>1316</v>
      </c>
      <c r="J37" s="61">
        <f t="shared" si="13"/>
        <v>1316</v>
      </c>
      <c r="K37" s="81" t="s">
        <v>98</v>
      </c>
      <c r="L37" s="62">
        <f t="shared" si="14"/>
        <v>1316</v>
      </c>
      <c r="M37" s="63"/>
      <c r="N37" s="63"/>
      <c r="O37" s="68">
        <v>825.91800000000001</v>
      </c>
      <c r="P37" s="65">
        <f>O37*O3</f>
        <v>4303.0327800000005</v>
      </c>
      <c r="Q37" s="66"/>
      <c r="R37" s="66">
        <f>L37-O37</f>
        <v>490.08199999999999</v>
      </c>
      <c r="S37" s="67">
        <f>Q37*O3</f>
        <v>0</v>
      </c>
    </row>
    <row r="38" spans="1:19" s="20" customFormat="1" ht="31.5" hidden="1" customHeight="1" x14ac:dyDescent="0.25">
      <c r="A38" s="75"/>
      <c r="L38" s="20">
        <f>SUM(L26:L37)</f>
        <v>4152</v>
      </c>
      <c r="O38" s="20">
        <f>SUM(O26:O37)</f>
        <v>9911.0159999999978</v>
      </c>
      <c r="P38" s="20">
        <f>SUM(P26:P37)</f>
        <v>49555.08</v>
      </c>
      <c r="R38" s="20">
        <f>SUM(Q26:R31)</f>
        <v>-3611.5080000000003</v>
      </c>
      <c r="S38" s="20">
        <f>SUM(S26:S37)</f>
        <v>-31040.967219999999</v>
      </c>
    </row>
    <row r="39" spans="1:19" s="20" customFormat="1" ht="31.5" hidden="1" customHeight="1" x14ac:dyDescent="0.25">
      <c r="A39" s="75"/>
      <c r="R39" s="20">
        <f>SUM(Q32:R37)</f>
        <v>-2147.5080000000003</v>
      </c>
    </row>
    <row r="40" spans="1:19" ht="31.5" customHeight="1" x14ac:dyDescent="0.25">
      <c r="A40" s="57">
        <v>45658</v>
      </c>
      <c r="B40" s="58">
        <v>2775.6</v>
      </c>
      <c r="C40" s="58">
        <v>1032.4000000000001</v>
      </c>
      <c r="D40" s="59" t="s">
        <v>21</v>
      </c>
      <c r="E40" s="58" t="s">
        <v>23</v>
      </c>
      <c r="F40" s="60">
        <v>5799</v>
      </c>
      <c r="G40" s="60">
        <f>6551+399+123</f>
        <v>7073</v>
      </c>
      <c r="H40" s="60">
        <f t="shared" ref="H40:H51" si="15">5+14+15</f>
        <v>34</v>
      </c>
      <c r="I40" s="60">
        <f t="shared" ref="I40:I41" si="16">F40-(G40+H40)</f>
        <v>-1308</v>
      </c>
      <c r="J40" s="61">
        <f t="shared" ref="J40:J46" si="17">I40</f>
        <v>-1308</v>
      </c>
      <c r="K40" s="93" t="s">
        <v>103</v>
      </c>
      <c r="L40" s="62">
        <f>IF(J40&lt;0,0,I40)</f>
        <v>0</v>
      </c>
      <c r="M40" s="63"/>
      <c r="N40" s="63"/>
      <c r="O40" s="68">
        <v>825.91800000000001</v>
      </c>
      <c r="P40" s="65">
        <f>O40*R2</f>
        <v>4303.0327800000005</v>
      </c>
      <c r="Q40" s="66">
        <f>L40-O40</f>
        <v>-825.91800000000001</v>
      </c>
      <c r="R40" s="66"/>
      <c r="S40" s="92">
        <f>Q40*R2</f>
        <v>-4303.0327800000005</v>
      </c>
    </row>
    <row r="41" spans="1:19" ht="31.5" customHeight="1" x14ac:dyDescent="0.25">
      <c r="A41" s="57">
        <v>45689</v>
      </c>
      <c r="B41" s="58">
        <v>2775.6</v>
      </c>
      <c r="C41" s="58">
        <v>1032.4000000000001</v>
      </c>
      <c r="D41" s="59" t="s">
        <v>21</v>
      </c>
      <c r="E41" s="58" t="s">
        <v>23</v>
      </c>
      <c r="F41" s="60">
        <v>6536</v>
      </c>
      <c r="G41" s="60">
        <f>5267+318+113</f>
        <v>5698</v>
      </c>
      <c r="H41" s="60">
        <f t="shared" si="15"/>
        <v>34</v>
      </c>
      <c r="I41" s="60">
        <f t="shared" si="16"/>
        <v>804</v>
      </c>
      <c r="J41" s="61">
        <f>I41+J40</f>
        <v>-504</v>
      </c>
      <c r="K41" s="93" t="s">
        <v>104</v>
      </c>
      <c r="L41" s="62">
        <v>0</v>
      </c>
      <c r="M41" s="63"/>
      <c r="N41" s="63"/>
      <c r="O41" s="68">
        <v>825.91800000000001</v>
      </c>
      <c r="P41" s="65">
        <f>O41*R2</f>
        <v>4303.0327800000005</v>
      </c>
      <c r="Q41" s="66">
        <f t="shared" ref="Q41:Q50" si="18">L41-O41</f>
        <v>-825.91800000000001</v>
      </c>
      <c r="R41" s="66"/>
      <c r="S41" s="92">
        <f>Q41*R2</f>
        <v>-4303.0327800000005</v>
      </c>
    </row>
    <row r="42" spans="1:19" ht="31.5" customHeight="1" x14ac:dyDescent="0.25">
      <c r="A42" s="57">
        <v>45717</v>
      </c>
      <c r="B42" s="58">
        <v>2775.6</v>
      </c>
      <c r="C42" s="58">
        <v>1032.4000000000001</v>
      </c>
      <c r="D42" s="59" t="s">
        <v>21</v>
      </c>
      <c r="E42" s="58" t="s">
        <v>23</v>
      </c>
      <c r="F42" s="60">
        <v>5395</v>
      </c>
      <c r="G42" s="60">
        <f>4810+264+86</f>
        <v>5160</v>
      </c>
      <c r="H42" s="60">
        <f t="shared" si="15"/>
        <v>34</v>
      </c>
      <c r="I42" s="60">
        <f>F42-(G42+H42)</f>
        <v>201</v>
      </c>
      <c r="J42" s="61">
        <f>I42+J41</f>
        <v>-303</v>
      </c>
      <c r="K42" s="93" t="s">
        <v>105</v>
      </c>
      <c r="L42" s="62">
        <f>IF(J42&lt;0,0,I42)</f>
        <v>0</v>
      </c>
      <c r="M42" s="63"/>
      <c r="N42" s="63"/>
      <c r="O42" s="68">
        <v>825.91800000000001</v>
      </c>
      <c r="P42" s="65">
        <f>O42*R2</f>
        <v>4303.0327800000005</v>
      </c>
      <c r="Q42" s="66">
        <f t="shared" si="18"/>
        <v>-825.91800000000001</v>
      </c>
      <c r="R42" s="66"/>
      <c r="S42" s="92">
        <f>Q42*R2</f>
        <v>-4303.0327800000005</v>
      </c>
    </row>
    <row r="43" spans="1:19" ht="31.5" customHeight="1" x14ac:dyDescent="0.25">
      <c r="A43" s="57">
        <v>45748</v>
      </c>
      <c r="B43" s="58">
        <v>2775.6</v>
      </c>
      <c r="C43" s="58">
        <v>1032.4000000000001</v>
      </c>
      <c r="D43" s="59" t="s">
        <v>21</v>
      </c>
      <c r="E43" s="58" t="s">
        <v>23</v>
      </c>
      <c r="F43" s="60">
        <v>5855</v>
      </c>
      <c r="G43" s="60">
        <f>5356+257+89</f>
        <v>5702</v>
      </c>
      <c r="H43" s="60">
        <f t="shared" si="15"/>
        <v>34</v>
      </c>
      <c r="I43" s="60">
        <f>F43-(G43+H43)</f>
        <v>119</v>
      </c>
      <c r="J43" s="61">
        <f>I43+J42</f>
        <v>-184</v>
      </c>
      <c r="K43" s="93" t="s">
        <v>106</v>
      </c>
      <c r="L43" s="62">
        <f>IF(J43&lt;0,0,I43)</f>
        <v>0</v>
      </c>
      <c r="M43" s="63"/>
      <c r="N43" s="63"/>
      <c r="O43" s="68">
        <v>825.91800000000001</v>
      </c>
      <c r="P43" s="65">
        <f>O43*R2</f>
        <v>4303.0327800000005</v>
      </c>
      <c r="Q43" s="66">
        <f t="shared" si="18"/>
        <v>-825.91800000000001</v>
      </c>
      <c r="R43" s="66"/>
      <c r="S43" s="92">
        <f>Q43*R2</f>
        <v>-4303.0327800000005</v>
      </c>
    </row>
    <row r="44" spans="1:19" ht="31.5" customHeight="1" x14ac:dyDescent="0.25">
      <c r="A44" s="57">
        <v>45778</v>
      </c>
      <c r="B44" s="58">
        <v>2775.6</v>
      </c>
      <c r="C44" s="58">
        <v>1032.4000000000001</v>
      </c>
      <c r="D44" s="59" t="s">
        <v>21</v>
      </c>
      <c r="E44" s="58" t="s">
        <v>23</v>
      </c>
      <c r="F44" s="60">
        <v>5536</v>
      </c>
      <c r="G44" s="60">
        <f>5420+228+73</f>
        <v>5721</v>
      </c>
      <c r="H44" s="60">
        <f t="shared" si="15"/>
        <v>34</v>
      </c>
      <c r="I44" s="60">
        <f>F44-(G44+H44)</f>
        <v>-219</v>
      </c>
      <c r="J44" s="61">
        <f>I44+J43</f>
        <v>-403</v>
      </c>
      <c r="K44" s="93" t="s">
        <v>107</v>
      </c>
      <c r="L44" s="62">
        <v>0</v>
      </c>
      <c r="M44" s="63"/>
      <c r="N44" s="63"/>
      <c r="O44" s="68">
        <v>825.91800000000001</v>
      </c>
      <c r="P44" s="65">
        <f>O44*R2</f>
        <v>4303.0327800000005</v>
      </c>
      <c r="Q44" s="66">
        <f t="shared" si="18"/>
        <v>-825.91800000000001</v>
      </c>
      <c r="R44" s="66"/>
      <c r="S44" s="92">
        <f>Q44*R2</f>
        <v>-4303.0327800000005</v>
      </c>
    </row>
    <row r="45" spans="1:19" ht="31.5" customHeight="1" x14ac:dyDescent="0.25">
      <c r="A45" s="57">
        <v>45809</v>
      </c>
      <c r="B45" s="58">
        <v>2775.6</v>
      </c>
      <c r="C45" s="58">
        <v>1032.4000000000001</v>
      </c>
      <c r="D45" s="59" t="s">
        <v>21</v>
      </c>
      <c r="E45" s="58" t="s">
        <v>23</v>
      </c>
      <c r="F45" s="60">
        <v>6119</v>
      </c>
      <c r="G45" s="60">
        <f>4916+304+79</f>
        <v>5299</v>
      </c>
      <c r="H45" s="60">
        <f t="shared" si="15"/>
        <v>34</v>
      </c>
      <c r="I45" s="60">
        <f>F45-(G45+H45)</f>
        <v>786</v>
      </c>
      <c r="J45" s="61">
        <f>I45+J44</f>
        <v>383</v>
      </c>
      <c r="K45" s="93" t="s">
        <v>108</v>
      </c>
      <c r="L45" s="62">
        <f>J45</f>
        <v>383</v>
      </c>
      <c r="M45" s="63"/>
      <c r="N45" s="63"/>
      <c r="O45" s="68">
        <v>825.91800000000001</v>
      </c>
      <c r="P45" s="65">
        <f>O45*R2</f>
        <v>4303.0327800000005</v>
      </c>
      <c r="Q45" s="66">
        <f t="shared" si="18"/>
        <v>-442.91800000000001</v>
      </c>
      <c r="R45" s="66"/>
      <c r="S45" s="92">
        <f>Q45*R2</f>
        <v>-2307.6027800000002</v>
      </c>
    </row>
    <row r="46" spans="1:19" ht="31.5" customHeight="1" x14ac:dyDescent="0.25">
      <c r="A46" s="57">
        <v>45839</v>
      </c>
      <c r="B46" s="58">
        <v>2775.6</v>
      </c>
      <c r="C46" s="58">
        <v>1032.4000000000001</v>
      </c>
      <c r="D46" s="59" t="s">
        <v>21</v>
      </c>
      <c r="E46" s="58" t="s">
        <v>23</v>
      </c>
      <c r="F46" s="60">
        <v>5169</v>
      </c>
      <c r="G46" s="60">
        <f>4783+229+72</f>
        <v>5084</v>
      </c>
      <c r="H46" s="60">
        <f t="shared" si="15"/>
        <v>34</v>
      </c>
      <c r="I46" s="60">
        <f>F46-(G46+H46)</f>
        <v>51</v>
      </c>
      <c r="J46" s="61">
        <f t="shared" si="17"/>
        <v>51</v>
      </c>
      <c r="K46" s="93" t="s">
        <v>109</v>
      </c>
      <c r="L46" s="62">
        <f t="shared" ref="L46" si="19">IF(J46&lt;0,0,I46)</f>
        <v>51</v>
      </c>
      <c r="M46" s="63"/>
      <c r="N46" s="63"/>
      <c r="O46" s="68">
        <v>825.91800000000001</v>
      </c>
      <c r="P46" s="65">
        <f>O46*R3</f>
        <v>4839.8794800000005</v>
      </c>
      <c r="Q46" s="66">
        <f t="shared" si="18"/>
        <v>-774.91800000000001</v>
      </c>
      <c r="R46" s="66"/>
      <c r="S46" s="92">
        <f>Q46*R3</f>
        <v>-4541.0194799999999</v>
      </c>
    </row>
    <row r="47" spans="1:19" ht="31.5" customHeight="1" x14ac:dyDescent="0.25">
      <c r="A47" s="57">
        <v>45870</v>
      </c>
      <c r="B47" s="58">
        <v>2775.6</v>
      </c>
      <c r="C47" s="58">
        <v>1032.4000000000001</v>
      </c>
      <c r="D47" s="59" t="s">
        <v>21</v>
      </c>
      <c r="E47" s="58" t="s">
        <v>23</v>
      </c>
      <c r="F47" s="60">
        <v>5745</v>
      </c>
      <c r="G47" s="60">
        <f>5071+203+69</f>
        <v>5343</v>
      </c>
      <c r="H47" s="60">
        <f t="shared" si="15"/>
        <v>34</v>
      </c>
      <c r="I47" s="60">
        <f t="shared" ref="I47:I48" si="20">F47-(G47+H47)</f>
        <v>368</v>
      </c>
      <c r="J47" s="61">
        <f>I47</f>
        <v>368</v>
      </c>
      <c r="K47" s="93" t="s">
        <v>113</v>
      </c>
      <c r="L47" s="62">
        <f>J47</f>
        <v>368</v>
      </c>
      <c r="M47" s="63"/>
      <c r="N47" s="63"/>
      <c r="O47" s="68">
        <v>825.91800000000001</v>
      </c>
      <c r="P47" s="65">
        <f>O47*R3</f>
        <v>4839.8794800000005</v>
      </c>
      <c r="Q47" s="66">
        <f t="shared" si="18"/>
        <v>-457.91800000000001</v>
      </c>
      <c r="R47" s="66"/>
      <c r="S47" s="92">
        <f>Q47*R3</f>
        <v>-2683.39948</v>
      </c>
    </row>
    <row r="48" spans="1:19" ht="31.5" customHeight="1" x14ac:dyDescent="0.25">
      <c r="A48" s="57">
        <v>45901</v>
      </c>
      <c r="B48" s="58">
        <v>2775.6</v>
      </c>
      <c r="C48" s="58">
        <v>1032.4000000000001</v>
      </c>
      <c r="D48" s="59" t="s">
        <v>21</v>
      </c>
      <c r="E48" s="58" t="s">
        <v>23</v>
      </c>
      <c r="F48" s="60">
        <v>6052</v>
      </c>
      <c r="G48" s="60">
        <f>5281+216+68</f>
        <v>5565</v>
      </c>
      <c r="H48" s="60">
        <f t="shared" si="15"/>
        <v>34</v>
      </c>
      <c r="I48" s="60">
        <f t="shared" si="20"/>
        <v>453</v>
      </c>
      <c r="J48" s="61">
        <f t="shared" ref="J48:J51" si="21">I48</f>
        <v>453</v>
      </c>
      <c r="K48" s="93" t="s">
        <v>110</v>
      </c>
      <c r="L48" s="62">
        <f t="shared" ref="L48:L51" si="22">IF(J48&lt;0,0,I48)</f>
        <v>453</v>
      </c>
      <c r="M48" s="63"/>
      <c r="N48" s="63"/>
      <c r="O48" s="68">
        <v>825.91800000000001</v>
      </c>
      <c r="P48" s="65">
        <f>O48*R3</f>
        <v>4839.8794800000005</v>
      </c>
      <c r="Q48" s="66">
        <f t="shared" si="18"/>
        <v>-372.91800000000001</v>
      </c>
      <c r="R48" s="66"/>
      <c r="S48" s="92">
        <f>Q48*R3</f>
        <v>-2185.2994800000001</v>
      </c>
    </row>
    <row r="49" spans="1:19" ht="31.5" customHeight="1" x14ac:dyDescent="0.25">
      <c r="A49" s="57">
        <v>45931</v>
      </c>
      <c r="B49" s="58">
        <v>2775.6</v>
      </c>
      <c r="C49" s="58">
        <v>1032.4000000000001</v>
      </c>
      <c r="D49" s="59" t="s">
        <v>21</v>
      </c>
      <c r="E49" s="58" t="s">
        <v>23</v>
      </c>
      <c r="F49" s="60">
        <v>6259</v>
      </c>
      <c r="G49" s="60">
        <f>5459+332+100</f>
        <v>5891</v>
      </c>
      <c r="H49" s="60">
        <f t="shared" si="15"/>
        <v>34</v>
      </c>
      <c r="I49" s="60">
        <f>F49-(G49+H49)</f>
        <v>334</v>
      </c>
      <c r="J49" s="61">
        <f t="shared" si="21"/>
        <v>334</v>
      </c>
      <c r="K49" s="93" t="s">
        <v>111</v>
      </c>
      <c r="L49" s="62">
        <f t="shared" si="22"/>
        <v>334</v>
      </c>
      <c r="M49" s="63"/>
      <c r="N49" s="63"/>
      <c r="O49" s="68">
        <v>825.91800000000001</v>
      </c>
      <c r="P49" s="65">
        <f>O49*R3</f>
        <v>4839.8794800000005</v>
      </c>
      <c r="Q49" s="66">
        <f t="shared" si="18"/>
        <v>-491.91800000000001</v>
      </c>
      <c r="R49" s="66"/>
      <c r="S49" s="92">
        <f>Q49*R3</f>
        <v>-2882.6394800000003</v>
      </c>
    </row>
    <row r="50" spans="1:19" ht="31.5" customHeight="1" x14ac:dyDescent="0.25">
      <c r="A50" s="57">
        <v>45962</v>
      </c>
      <c r="B50" s="58">
        <v>2775.6</v>
      </c>
      <c r="C50" s="58">
        <v>1032.4000000000001</v>
      </c>
      <c r="D50" s="59" t="s">
        <v>21</v>
      </c>
      <c r="E50" s="58" t="s">
        <v>23</v>
      </c>
      <c r="F50" s="60">
        <v>6179</v>
      </c>
      <c r="G50" s="60">
        <f>5307+229+76</f>
        <v>5612</v>
      </c>
      <c r="H50" s="60">
        <f t="shared" si="15"/>
        <v>34</v>
      </c>
      <c r="I50" s="60">
        <f t="shared" ref="I50:I51" si="23">F50-(G50+H50)</f>
        <v>533</v>
      </c>
      <c r="J50" s="61">
        <f t="shared" si="21"/>
        <v>533</v>
      </c>
      <c r="K50" s="93" t="s">
        <v>114</v>
      </c>
      <c r="L50" s="62">
        <f t="shared" si="22"/>
        <v>533</v>
      </c>
      <c r="M50" s="63"/>
      <c r="N50" s="63"/>
      <c r="O50" s="68">
        <v>825.91800000000001</v>
      </c>
      <c r="P50" s="65">
        <f>O50*R3</f>
        <v>4839.8794800000005</v>
      </c>
      <c r="Q50" s="66">
        <f t="shared" si="18"/>
        <v>-292.91800000000001</v>
      </c>
      <c r="R50" s="66"/>
      <c r="S50" s="92">
        <f>Q50*R3</f>
        <v>-1716.4994800000002</v>
      </c>
    </row>
    <row r="51" spans="1:19" ht="31.5" customHeight="1" x14ac:dyDescent="0.25">
      <c r="A51" s="57">
        <v>45992</v>
      </c>
      <c r="B51" s="58">
        <v>2775.6</v>
      </c>
      <c r="C51" s="58">
        <v>1032.4000000000001</v>
      </c>
      <c r="D51" s="59" t="s">
        <v>21</v>
      </c>
      <c r="E51" s="58" t="s">
        <v>23</v>
      </c>
      <c r="F51" s="60">
        <v>5460</v>
      </c>
      <c r="G51" s="60">
        <f>4772+183+62</f>
        <v>5017</v>
      </c>
      <c r="H51" s="60">
        <f t="shared" si="15"/>
        <v>34</v>
      </c>
      <c r="I51" s="60">
        <f t="shared" si="23"/>
        <v>409</v>
      </c>
      <c r="J51" s="61">
        <f t="shared" si="21"/>
        <v>409</v>
      </c>
      <c r="K51" s="81" t="s">
        <v>112</v>
      </c>
      <c r="L51" s="62">
        <f t="shared" si="22"/>
        <v>409</v>
      </c>
      <c r="M51" s="63"/>
      <c r="N51" s="63"/>
      <c r="O51" s="68">
        <v>825.91800000000001</v>
      </c>
      <c r="P51" s="65">
        <f>O51*R3</f>
        <v>4839.8794800000005</v>
      </c>
      <c r="Q51" s="66">
        <f t="shared" ref="Q51" si="24">L51-O51</f>
        <v>-416.91800000000001</v>
      </c>
      <c r="R51" s="66"/>
      <c r="S51" s="92">
        <f>Q51*R3</f>
        <v>-2443.1394800000003</v>
      </c>
    </row>
    <row r="52" spans="1:19" s="20" customFormat="1" ht="31.5" customHeight="1" x14ac:dyDescent="0.25">
      <c r="A52" s="75"/>
      <c r="L52" s="20">
        <f>SUM(L40:L51)</f>
        <v>2531</v>
      </c>
      <c r="O52" s="20">
        <f>SUM(O40:O51)</f>
        <v>9911.0159999999978</v>
      </c>
      <c r="P52" s="20">
        <f>SUM(P40:P51)</f>
        <v>54857.47356000002</v>
      </c>
      <c r="Q52" s="95" t="s">
        <v>116</v>
      </c>
      <c r="R52" s="95">
        <f>SUM(Q40:R45)</f>
        <v>-4572.5079999999998</v>
      </c>
      <c r="S52" s="96">
        <f>SUM(S40:S45)</f>
        <v>-23822.766680000004</v>
      </c>
    </row>
    <row r="53" spans="1:19" s="20" customFormat="1" ht="31.5" customHeight="1" x14ac:dyDescent="0.25">
      <c r="A53" s="75"/>
      <c r="Q53" s="97" t="s">
        <v>117</v>
      </c>
      <c r="R53" s="95">
        <f>SUM(Q46:R51)</f>
        <v>-2807.5080000000003</v>
      </c>
      <c r="S53" s="96">
        <f>SUM(S46:S51)</f>
        <v>-16451.996880000002</v>
      </c>
    </row>
    <row r="54" spans="1:19" x14ac:dyDescent="0.25">
      <c r="K54" s="90"/>
      <c r="Q54" s="97"/>
      <c r="R54" s="97"/>
      <c r="S54" s="97"/>
    </row>
    <row r="55" spans="1:19" x14ac:dyDescent="0.25">
      <c r="K55" s="90"/>
      <c r="Q55" s="97"/>
      <c r="R55" s="95">
        <f>R52+R53</f>
        <v>-7380.0159999999996</v>
      </c>
      <c r="S55" s="96">
        <f>S52+S53</f>
        <v>-40274.763560000007</v>
      </c>
    </row>
    <row r="56" spans="1:19" x14ac:dyDescent="0.25">
      <c r="K56" s="90"/>
    </row>
    <row r="57" spans="1:19" x14ac:dyDescent="0.25">
      <c r="K57" s="90"/>
      <c r="R57" s="56"/>
      <c r="S57" s="20"/>
    </row>
    <row r="58" spans="1:19" x14ac:dyDescent="0.25">
      <c r="K58" s="90"/>
    </row>
    <row r="59" spans="1:19" x14ac:dyDescent="0.25">
      <c r="K59" s="90"/>
      <c r="S59">
        <v>0</v>
      </c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1" x14ac:dyDescent="0.25">
      <c r="K65" s="90"/>
    </row>
  </sheetData>
  <sheetProtection algorithmName="SHA-512" hashValue="xOFPbkpiIgIKJtMqqwiDXTtxiymiP1/HmtD/wh+oOnZ1fEIypkncad1qAXAjNODXNtyq8cCS2+Dfw+HRmKgWog==" saltValue="W9CRAAWPZtq/9wpTdXTeyg==" spinCount="100000" sheet="1" objects="1" scenarios="1" selectLockedCells="1" selectUnlockedCells="1"/>
  <mergeCells count="23">
    <mergeCell ref="A1:S1"/>
    <mergeCell ref="O4:O5"/>
    <mergeCell ref="P4:P5"/>
    <mergeCell ref="Q4:R4"/>
    <mergeCell ref="F4:F5"/>
    <mergeCell ref="G4:G5"/>
    <mergeCell ref="H4:H5"/>
    <mergeCell ref="I4:I5"/>
    <mergeCell ref="K4:L4"/>
    <mergeCell ref="M4:M5"/>
    <mergeCell ref="A2:D2"/>
    <mergeCell ref="A4:A5"/>
    <mergeCell ref="B4:B5"/>
    <mergeCell ref="C4:C5"/>
    <mergeCell ref="D4:D5"/>
    <mergeCell ref="P2:P3"/>
    <mergeCell ref="S4:S5"/>
    <mergeCell ref="E4:E5"/>
    <mergeCell ref="N4:N5"/>
    <mergeCell ref="G2:K2"/>
    <mergeCell ref="G3:K3"/>
    <mergeCell ref="J4:J5"/>
    <mergeCell ref="S2:S3"/>
  </mergeCells>
  <pageMargins left="0.25" right="0.25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zoomScale="78" zoomScaleNormal="78" workbookViewId="0">
      <selection activeCell="A2" sqref="A2:D2"/>
    </sheetView>
  </sheetViews>
  <sheetFormatPr defaultRowHeight="15" x14ac:dyDescent="0.25"/>
  <cols>
    <col min="1" max="1" width="9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29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3907.2</v>
      </c>
      <c r="C7" s="10">
        <v>1147.5</v>
      </c>
      <c r="D7" s="19" t="s">
        <v>30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918</v>
      </c>
      <c r="M7" s="10"/>
      <c r="N7" s="10"/>
      <c r="O7" s="36">
        <v>917.99</v>
      </c>
      <c r="P7" s="36">
        <f>O7*M2</f>
        <v>4039.1560000000004</v>
      </c>
      <c r="Q7" s="32">
        <v>0</v>
      </c>
      <c r="R7" s="10"/>
      <c r="S7" s="16">
        <v>0</v>
      </c>
    </row>
    <row r="8" spans="1:19" ht="39.75" hidden="1" customHeight="1" x14ac:dyDescent="0.25">
      <c r="A8" s="18">
        <v>44835</v>
      </c>
      <c r="B8" s="10">
        <v>3907.2</v>
      </c>
      <c r="C8" s="10">
        <v>1147.5</v>
      </c>
      <c r="D8" s="19" t="s">
        <v>30</v>
      </c>
      <c r="E8" s="10" t="s">
        <v>23</v>
      </c>
      <c r="F8" s="11">
        <v>4894.72</v>
      </c>
      <c r="G8" s="11">
        <f>4615+298+111</f>
        <v>5024</v>
      </c>
      <c r="H8" s="11">
        <f>5+14+15</f>
        <v>34</v>
      </c>
      <c r="I8" s="11">
        <f>F8-(G8+H8)</f>
        <v>-163.27999999999975</v>
      </c>
      <c r="J8" s="24">
        <f>I8</f>
        <v>-163.27999999999975</v>
      </c>
      <c r="K8" s="27" t="s">
        <v>64</v>
      </c>
      <c r="L8" s="34">
        <v>0</v>
      </c>
      <c r="M8" s="29"/>
      <c r="N8" s="29"/>
      <c r="O8" s="36">
        <v>917.99</v>
      </c>
      <c r="P8" s="36">
        <f>O8*M2</f>
        <v>4039.1560000000004</v>
      </c>
      <c r="Q8" s="47">
        <f>O8</f>
        <v>917.99</v>
      </c>
      <c r="R8" s="47"/>
      <c r="S8" s="16">
        <f>-(Q8*M2)</f>
        <v>-4039.1560000000004</v>
      </c>
    </row>
    <row r="9" spans="1:19" ht="39.75" hidden="1" customHeight="1" x14ac:dyDescent="0.25">
      <c r="A9" s="18">
        <v>44866</v>
      </c>
      <c r="B9" s="10">
        <v>3907.2</v>
      </c>
      <c r="C9" s="10">
        <v>1147.5</v>
      </c>
      <c r="D9" s="19" t="s">
        <v>30</v>
      </c>
      <c r="E9" s="10" t="s">
        <v>23</v>
      </c>
      <c r="F9" s="7">
        <v>6625.44</v>
      </c>
      <c r="G9" s="4">
        <f>4740+293+81</f>
        <v>5114</v>
      </c>
      <c r="H9" s="4">
        <f>5+14+15</f>
        <v>34</v>
      </c>
      <c r="I9" s="11">
        <f t="shared" ref="I9:I22" si="0">F9-(G9+H9)</f>
        <v>1477.4399999999996</v>
      </c>
      <c r="J9" s="24">
        <v>1314</v>
      </c>
      <c r="K9" s="27" t="s">
        <v>66</v>
      </c>
      <c r="L9" s="34">
        <v>1477</v>
      </c>
      <c r="M9" s="39">
        <f>R9/C9</f>
        <v>0.34510675381263617</v>
      </c>
      <c r="N9" s="39">
        <f>M9*M2</f>
        <v>1.5184697167755992</v>
      </c>
      <c r="O9" s="36">
        <v>917.99</v>
      </c>
      <c r="P9" s="36">
        <f>O9*M2</f>
        <v>4039.1560000000004</v>
      </c>
      <c r="Q9" s="47"/>
      <c r="R9" s="47">
        <f>J9-O9</f>
        <v>396.01</v>
      </c>
      <c r="S9" s="16">
        <f>R9*M2</f>
        <v>1742.4440000000002</v>
      </c>
    </row>
    <row r="10" spans="1:19" ht="39.75" hidden="1" customHeight="1" x14ac:dyDescent="0.25">
      <c r="A10" s="18">
        <v>44896</v>
      </c>
      <c r="B10" s="4">
        <v>3907.2</v>
      </c>
      <c r="C10" s="4">
        <v>1147.5</v>
      </c>
      <c r="D10" s="19" t="s">
        <v>30</v>
      </c>
      <c r="E10" s="4" t="s">
        <v>23</v>
      </c>
      <c r="F10" s="4">
        <v>6836</v>
      </c>
      <c r="G10" s="4">
        <f>6040+293+81</f>
        <v>6414</v>
      </c>
      <c r="H10" s="4">
        <f>5+14+15</f>
        <v>34</v>
      </c>
      <c r="I10" s="6">
        <f t="shared" si="0"/>
        <v>388</v>
      </c>
      <c r="J10" s="24">
        <f>I10</f>
        <v>388</v>
      </c>
      <c r="K10" s="27" t="s">
        <v>67</v>
      </c>
      <c r="L10" s="34">
        <v>388</v>
      </c>
      <c r="M10" s="28"/>
      <c r="N10" s="28"/>
      <c r="O10" s="38">
        <v>917.99</v>
      </c>
      <c r="P10" s="38">
        <f>O10*M3</f>
        <v>4397.1720999999998</v>
      </c>
      <c r="Q10" s="47">
        <v>529.99</v>
      </c>
      <c r="R10" s="47"/>
      <c r="S10" s="16">
        <f>-(Q10*M3)</f>
        <v>-2538.6521000000002</v>
      </c>
    </row>
    <row r="11" spans="1:19" ht="31.5" hidden="1" customHeight="1" x14ac:dyDescent="0.25">
      <c r="A11" s="57">
        <v>44927</v>
      </c>
      <c r="B11" s="58">
        <v>3907.2</v>
      </c>
      <c r="C11" s="58">
        <v>1147.5</v>
      </c>
      <c r="D11" s="59" t="s">
        <v>30</v>
      </c>
      <c r="E11" s="58" t="s">
        <v>23</v>
      </c>
      <c r="F11" s="60">
        <v>7222.88</v>
      </c>
      <c r="G11" s="60">
        <f>6822+440+145</f>
        <v>7407</v>
      </c>
      <c r="H11" s="60">
        <f>15+5+14</f>
        <v>34</v>
      </c>
      <c r="I11" s="60">
        <f t="shared" si="0"/>
        <v>-218.11999999999989</v>
      </c>
      <c r="J11" s="61">
        <f>I11+218</f>
        <v>-0.11999999999989086</v>
      </c>
      <c r="K11" s="80" t="s">
        <v>76</v>
      </c>
      <c r="L11" s="62">
        <f>IF(J11&lt;0,0,I11)</f>
        <v>0</v>
      </c>
      <c r="M11" s="63"/>
      <c r="N11" s="63"/>
      <c r="O11" s="65">
        <v>917.99</v>
      </c>
      <c r="P11" s="65">
        <f>O11*M3</f>
        <v>4397.1720999999998</v>
      </c>
      <c r="Q11" s="66">
        <f>L11-O11</f>
        <v>-917.99</v>
      </c>
      <c r="R11" s="66"/>
      <c r="S11" s="67">
        <f>Q11*M3</f>
        <v>-4397.1720999999998</v>
      </c>
    </row>
    <row r="12" spans="1:19" ht="31.5" hidden="1" customHeight="1" x14ac:dyDescent="0.25">
      <c r="A12" s="57">
        <v>44958</v>
      </c>
      <c r="B12" s="58">
        <v>3907.2</v>
      </c>
      <c r="C12" s="58">
        <v>1147.5</v>
      </c>
      <c r="D12" s="59" t="s">
        <v>30</v>
      </c>
      <c r="E12" s="58" t="s">
        <v>23</v>
      </c>
      <c r="F12" s="60">
        <v>4921.84</v>
      </c>
      <c r="G12" s="60">
        <f>5082+334+108</f>
        <v>5524</v>
      </c>
      <c r="H12" s="60">
        <f>5+14+15</f>
        <v>34</v>
      </c>
      <c r="I12" s="60">
        <f t="shared" si="0"/>
        <v>-636.15999999999985</v>
      </c>
      <c r="J12" s="61">
        <f t="shared" ref="J12:J22" si="1">I12</f>
        <v>-636.15999999999985</v>
      </c>
      <c r="K12" s="80"/>
      <c r="L12" s="62">
        <f t="shared" ref="L12:L22" si="2">IF(J12&lt;0,0,I12)</f>
        <v>0</v>
      </c>
      <c r="M12" s="63"/>
      <c r="N12" s="63"/>
      <c r="O12" s="65">
        <v>917.99</v>
      </c>
      <c r="P12" s="65">
        <f>O12*M3</f>
        <v>4397.1720999999998</v>
      </c>
      <c r="Q12" s="66">
        <f>L12-O12</f>
        <v>-917.99</v>
      </c>
      <c r="R12" s="66"/>
      <c r="S12" s="67">
        <f>Q12*M3</f>
        <v>-4397.1720999999998</v>
      </c>
    </row>
    <row r="13" spans="1:19" ht="31.5" hidden="1" customHeight="1" x14ac:dyDescent="0.25">
      <c r="A13" s="57">
        <v>44986</v>
      </c>
      <c r="B13" s="58">
        <v>3907.2</v>
      </c>
      <c r="C13" s="58">
        <v>1147.5</v>
      </c>
      <c r="D13" s="59" t="s">
        <v>30</v>
      </c>
      <c r="E13" s="58" t="s">
        <v>23</v>
      </c>
      <c r="F13" s="60">
        <v>7348.48</v>
      </c>
      <c r="G13" s="60">
        <f>5023+311+92</f>
        <v>5426</v>
      </c>
      <c r="H13" s="60">
        <f>5+14+15</f>
        <v>34</v>
      </c>
      <c r="I13" s="60">
        <f t="shared" si="0"/>
        <v>1888.4799999999996</v>
      </c>
      <c r="J13" s="61">
        <f>I13-854</f>
        <v>1034.4799999999996</v>
      </c>
      <c r="K13" s="80" t="s">
        <v>77</v>
      </c>
      <c r="L13" s="62">
        <f t="shared" ref="L13:L21" si="3">J13</f>
        <v>1034.4799999999996</v>
      </c>
      <c r="M13" s="63"/>
      <c r="N13" s="63"/>
      <c r="O13" s="65">
        <v>917.99</v>
      </c>
      <c r="P13" s="65">
        <f>O13*M3</f>
        <v>4397.1720999999998</v>
      </c>
      <c r="Q13" s="66"/>
      <c r="R13" s="66">
        <f>L13-O13</f>
        <v>116.48999999999955</v>
      </c>
      <c r="S13" s="67">
        <f>R13*M3</f>
        <v>557.98709999999789</v>
      </c>
    </row>
    <row r="14" spans="1:19" ht="31.5" hidden="1" customHeight="1" x14ac:dyDescent="0.25">
      <c r="A14" s="57">
        <v>45017</v>
      </c>
      <c r="B14" s="58">
        <v>3907.2</v>
      </c>
      <c r="C14" s="58">
        <v>1147.5</v>
      </c>
      <c r="D14" s="59" t="s">
        <v>30</v>
      </c>
      <c r="E14" s="58" t="s">
        <v>23</v>
      </c>
      <c r="F14" s="60">
        <v>5606.4</v>
      </c>
      <c r="G14" s="60">
        <f>5183+206+75</f>
        <v>5464</v>
      </c>
      <c r="H14" s="60">
        <f>5+14+15</f>
        <v>34</v>
      </c>
      <c r="I14" s="60">
        <f t="shared" si="0"/>
        <v>108.39999999999964</v>
      </c>
      <c r="J14" s="61">
        <f t="shared" si="1"/>
        <v>108.39999999999964</v>
      </c>
      <c r="K14" s="80" t="s">
        <v>78</v>
      </c>
      <c r="L14" s="62">
        <f t="shared" si="3"/>
        <v>108.39999999999964</v>
      </c>
      <c r="M14" s="63"/>
      <c r="N14" s="63"/>
      <c r="O14" s="65">
        <v>917.99</v>
      </c>
      <c r="P14" s="65">
        <f>O14*M3</f>
        <v>4397.1720999999998</v>
      </c>
      <c r="Q14" s="66">
        <f>L14-O14</f>
        <v>-809.59000000000037</v>
      </c>
      <c r="R14" s="66"/>
      <c r="S14" s="67">
        <f>Q14*M3</f>
        <v>-3877.9361000000017</v>
      </c>
    </row>
    <row r="15" spans="1:19" ht="31.5" hidden="1" customHeight="1" x14ac:dyDescent="0.25">
      <c r="A15" s="57">
        <v>45047</v>
      </c>
      <c r="B15" s="58">
        <v>3907.2</v>
      </c>
      <c r="C15" s="58">
        <v>1147.5</v>
      </c>
      <c r="D15" s="59" t="s">
        <v>30</v>
      </c>
      <c r="E15" s="58" t="s">
        <v>23</v>
      </c>
      <c r="F15" s="60">
        <v>6644.56</v>
      </c>
      <c r="G15" s="60">
        <f>5997+480+126</f>
        <v>6603</v>
      </c>
      <c r="H15" s="60">
        <f>5+14+15</f>
        <v>34</v>
      </c>
      <c r="I15" s="60">
        <f t="shared" si="0"/>
        <v>7.5600000000004002</v>
      </c>
      <c r="J15" s="61">
        <f t="shared" si="1"/>
        <v>7.5600000000004002</v>
      </c>
      <c r="K15" s="80" t="s">
        <v>79</v>
      </c>
      <c r="L15" s="62">
        <f t="shared" si="3"/>
        <v>7.5600000000004002</v>
      </c>
      <c r="M15" s="63"/>
      <c r="N15" s="63"/>
      <c r="O15" s="65">
        <v>917.99</v>
      </c>
      <c r="P15" s="65">
        <f>O15*M3</f>
        <v>4397.1720999999998</v>
      </c>
      <c r="Q15" s="66">
        <f>L15-O15</f>
        <v>-910.42999999999961</v>
      </c>
      <c r="R15" s="66"/>
      <c r="S15" s="67">
        <f>Q15*M3</f>
        <v>-4360.9596999999985</v>
      </c>
    </row>
    <row r="16" spans="1:19" ht="31.5" hidden="1" customHeight="1" x14ac:dyDescent="0.25">
      <c r="A16" s="57">
        <v>45078</v>
      </c>
      <c r="B16" s="58">
        <v>3907.2</v>
      </c>
      <c r="C16" s="58">
        <v>1147.5</v>
      </c>
      <c r="D16" s="59" t="s">
        <v>30</v>
      </c>
      <c r="E16" s="58" t="s">
        <v>23</v>
      </c>
      <c r="F16" s="60">
        <v>6514</v>
      </c>
      <c r="G16" s="60">
        <f>4990+330+95</f>
        <v>5415</v>
      </c>
      <c r="H16" s="60">
        <f t="shared" ref="H16:H22" si="4">5+14+15</f>
        <v>34</v>
      </c>
      <c r="I16" s="60">
        <f t="shared" si="0"/>
        <v>1065</v>
      </c>
      <c r="J16" s="61">
        <f t="shared" si="1"/>
        <v>1065</v>
      </c>
      <c r="K16" s="80" t="s">
        <v>80</v>
      </c>
      <c r="L16" s="62">
        <f t="shared" si="3"/>
        <v>1065</v>
      </c>
      <c r="M16" s="63"/>
      <c r="N16" s="63"/>
      <c r="O16" s="65">
        <v>917.99</v>
      </c>
      <c r="P16" s="65">
        <f>O16*M3</f>
        <v>4397.1720999999998</v>
      </c>
      <c r="Q16" s="66"/>
      <c r="R16" s="66">
        <f>L16-O16</f>
        <v>147.01</v>
      </c>
      <c r="S16" s="67">
        <f>R16*M3</f>
        <v>704.17789999999991</v>
      </c>
    </row>
    <row r="17" spans="1:19" ht="31.5" hidden="1" customHeight="1" x14ac:dyDescent="0.25">
      <c r="A17" s="57">
        <v>45108</v>
      </c>
      <c r="B17" s="58">
        <v>3907.2</v>
      </c>
      <c r="C17" s="58">
        <v>1147.5</v>
      </c>
      <c r="D17" s="59" t="s">
        <v>30</v>
      </c>
      <c r="E17" s="58" t="s">
        <v>23</v>
      </c>
      <c r="F17" s="60">
        <v>4991.3599999999997</v>
      </c>
      <c r="G17" s="60">
        <f>4568+129+51</f>
        <v>4748</v>
      </c>
      <c r="H17" s="60">
        <f t="shared" si="4"/>
        <v>34</v>
      </c>
      <c r="I17" s="60">
        <f t="shared" si="0"/>
        <v>209.35999999999967</v>
      </c>
      <c r="J17" s="61">
        <f t="shared" si="1"/>
        <v>209.35999999999967</v>
      </c>
      <c r="K17" s="80" t="s">
        <v>81</v>
      </c>
      <c r="L17" s="62">
        <f t="shared" si="3"/>
        <v>209.35999999999967</v>
      </c>
      <c r="M17" s="63"/>
      <c r="N17" s="63"/>
      <c r="O17" s="65">
        <v>917.99</v>
      </c>
      <c r="P17" s="65">
        <f>O17*M3</f>
        <v>4397.1720999999998</v>
      </c>
      <c r="Q17" s="66">
        <f>L17-O17</f>
        <v>-708.63000000000034</v>
      </c>
      <c r="R17" s="66"/>
      <c r="S17" s="67">
        <f>Q17*M3</f>
        <v>-3394.3377000000019</v>
      </c>
    </row>
    <row r="18" spans="1:19" ht="31.5" hidden="1" customHeight="1" x14ac:dyDescent="0.25">
      <c r="A18" s="57">
        <v>45139</v>
      </c>
      <c r="B18" s="58">
        <v>3907.2</v>
      </c>
      <c r="C18" s="58">
        <v>1147.5</v>
      </c>
      <c r="D18" s="59" t="s">
        <v>30</v>
      </c>
      <c r="E18" s="58" t="s">
        <v>23</v>
      </c>
      <c r="F18" s="60">
        <v>5961.28</v>
      </c>
      <c r="G18" s="60">
        <f>4940+315+93</f>
        <v>5348</v>
      </c>
      <c r="H18" s="60">
        <f t="shared" si="4"/>
        <v>34</v>
      </c>
      <c r="I18" s="60">
        <f t="shared" si="0"/>
        <v>579.27999999999975</v>
      </c>
      <c r="J18" s="61">
        <f t="shared" si="1"/>
        <v>579.27999999999975</v>
      </c>
      <c r="K18" s="80" t="s">
        <v>82</v>
      </c>
      <c r="L18" s="62">
        <f t="shared" si="3"/>
        <v>579.27999999999975</v>
      </c>
      <c r="M18" s="63"/>
      <c r="N18" s="63"/>
      <c r="O18" s="65">
        <v>917.99</v>
      </c>
      <c r="P18" s="65">
        <f>O18*M3</f>
        <v>4397.1720999999998</v>
      </c>
      <c r="Q18" s="66">
        <f>L18-O18</f>
        <v>-338.71000000000026</v>
      </c>
      <c r="R18" s="66"/>
      <c r="S18" s="67">
        <f>Q18*M3</f>
        <v>-1622.4209000000012</v>
      </c>
    </row>
    <row r="19" spans="1:19" ht="31.5" hidden="1" customHeight="1" x14ac:dyDescent="0.25">
      <c r="A19" s="57">
        <v>45170</v>
      </c>
      <c r="B19" s="58">
        <v>3907.2</v>
      </c>
      <c r="C19" s="58">
        <v>1147.5</v>
      </c>
      <c r="D19" s="59" t="s">
        <v>30</v>
      </c>
      <c r="E19" s="58" t="s">
        <v>23</v>
      </c>
      <c r="F19" s="60">
        <v>5814.4</v>
      </c>
      <c r="G19" s="60">
        <f>4362+315+93</f>
        <v>4770</v>
      </c>
      <c r="H19" s="60">
        <f t="shared" si="4"/>
        <v>34</v>
      </c>
      <c r="I19" s="60">
        <f t="shared" si="0"/>
        <v>1010.3999999999996</v>
      </c>
      <c r="J19" s="61">
        <f t="shared" si="1"/>
        <v>1010.3999999999996</v>
      </c>
      <c r="K19" s="80" t="s">
        <v>83</v>
      </c>
      <c r="L19" s="62">
        <f t="shared" si="3"/>
        <v>1010.3999999999996</v>
      </c>
      <c r="M19" s="63"/>
      <c r="N19" s="63"/>
      <c r="O19" s="65">
        <v>917.99</v>
      </c>
      <c r="P19" s="65">
        <f>O19*M3</f>
        <v>4397.1720999999998</v>
      </c>
      <c r="Q19" s="66"/>
      <c r="R19" s="66">
        <f>L19-O19</f>
        <v>92.409999999999627</v>
      </c>
      <c r="S19" s="67">
        <f>R19*M3</f>
        <v>442.64389999999821</v>
      </c>
    </row>
    <row r="20" spans="1:19" ht="31.5" hidden="1" customHeight="1" x14ac:dyDescent="0.25">
      <c r="A20" s="57">
        <v>45200</v>
      </c>
      <c r="B20" s="58">
        <v>3907.2</v>
      </c>
      <c r="C20" s="58">
        <v>1147.5</v>
      </c>
      <c r="D20" s="59" t="s">
        <v>30</v>
      </c>
      <c r="E20" s="58" t="s">
        <v>23</v>
      </c>
      <c r="F20" s="60">
        <v>6342.4830000000002</v>
      </c>
      <c r="G20" s="60">
        <f>4814+196+88</f>
        <v>5098</v>
      </c>
      <c r="H20" s="60">
        <f t="shared" si="4"/>
        <v>34</v>
      </c>
      <c r="I20" s="60">
        <f t="shared" si="0"/>
        <v>1210.4830000000002</v>
      </c>
      <c r="J20" s="61">
        <f t="shared" si="1"/>
        <v>1210.4830000000002</v>
      </c>
      <c r="K20" s="80" t="s">
        <v>84</v>
      </c>
      <c r="L20" s="62">
        <f t="shared" si="3"/>
        <v>1210.4830000000002</v>
      </c>
      <c r="M20" s="63"/>
      <c r="N20" s="63"/>
      <c r="O20" s="65">
        <v>917.99</v>
      </c>
      <c r="P20" s="65">
        <f>O20*M3</f>
        <v>4397.1720999999998</v>
      </c>
      <c r="Q20" s="66"/>
      <c r="R20" s="66">
        <f>L20-O20</f>
        <v>292.49300000000017</v>
      </c>
      <c r="S20" s="67">
        <f>S17+S18</f>
        <v>-5016.7586000000028</v>
      </c>
    </row>
    <row r="21" spans="1:19" ht="31.5" hidden="1" customHeight="1" x14ac:dyDescent="0.25">
      <c r="A21" s="57">
        <v>45231</v>
      </c>
      <c r="B21" s="58">
        <v>3907.2</v>
      </c>
      <c r="C21" s="58">
        <v>1147.5</v>
      </c>
      <c r="D21" s="59" t="s">
        <v>30</v>
      </c>
      <c r="E21" s="58" t="s">
        <v>23</v>
      </c>
      <c r="F21" s="60">
        <v>6047.2</v>
      </c>
      <c r="G21" s="60">
        <f>5052+304+94</f>
        <v>5450</v>
      </c>
      <c r="H21" s="60">
        <f t="shared" si="4"/>
        <v>34</v>
      </c>
      <c r="I21" s="60">
        <f t="shared" si="0"/>
        <v>563.19999999999982</v>
      </c>
      <c r="J21" s="61">
        <f t="shared" si="1"/>
        <v>563.19999999999982</v>
      </c>
      <c r="K21" s="80" t="s">
        <v>85</v>
      </c>
      <c r="L21" s="62">
        <f t="shared" si="3"/>
        <v>563.19999999999982</v>
      </c>
      <c r="M21" s="63"/>
      <c r="N21" s="63"/>
      <c r="O21" s="65">
        <v>917.99</v>
      </c>
      <c r="P21" s="65">
        <f>O21*M3</f>
        <v>4397.1720999999998</v>
      </c>
      <c r="Q21" s="66">
        <f>L21-O21</f>
        <v>-354.79000000000019</v>
      </c>
      <c r="R21" s="66"/>
      <c r="S21" s="67">
        <f>Q21*M3</f>
        <v>-1699.4441000000008</v>
      </c>
    </row>
    <row r="22" spans="1:19" ht="31.5" hidden="1" customHeight="1" x14ac:dyDescent="0.25">
      <c r="A22" s="57">
        <v>45261</v>
      </c>
      <c r="B22" s="58">
        <v>3907.2</v>
      </c>
      <c r="C22" s="58">
        <v>1147.5</v>
      </c>
      <c r="D22" s="59" t="s">
        <v>30</v>
      </c>
      <c r="E22" s="58" t="s">
        <v>23</v>
      </c>
      <c r="F22" s="60">
        <v>5982.88</v>
      </c>
      <c r="G22" s="60">
        <f>5533+519+226</f>
        <v>6278</v>
      </c>
      <c r="H22" s="60">
        <f t="shared" si="4"/>
        <v>34</v>
      </c>
      <c r="I22" s="60">
        <f t="shared" si="0"/>
        <v>-329.11999999999989</v>
      </c>
      <c r="J22" s="61">
        <f t="shared" si="1"/>
        <v>-329.11999999999989</v>
      </c>
      <c r="K22" s="81" t="s">
        <v>86</v>
      </c>
      <c r="L22" s="62">
        <f t="shared" si="2"/>
        <v>0</v>
      </c>
      <c r="M22" s="63"/>
      <c r="N22" s="63"/>
      <c r="O22" s="65">
        <v>917.99</v>
      </c>
      <c r="P22" s="65">
        <f>O22*M3</f>
        <v>4397.1720999999998</v>
      </c>
      <c r="Q22" s="66">
        <f>L22-O22</f>
        <v>-917.99</v>
      </c>
      <c r="R22" s="66"/>
      <c r="S22" s="67">
        <f>Q22*M3</f>
        <v>-4397.1720999999998</v>
      </c>
    </row>
    <row r="23" spans="1:19" s="20" customFormat="1" ht="31.5" hidden="1" customHeight="1" x14ac:dyDescent="0.25">
      <c r="A23" s="75"/>
      <c r="L23" s="20">
        <f>SUM(L11:L22)</f>
        <v>5788.1629999999986</v>
      </c>
      <c r="O23" s="20">
        <f>SUM(O11:O22)</f>
        <v>11015.88</v>
      </c>
      <c r="P23" s="20">
        <f>SUM(P11:P22)</f>
        <v>52766.065199999983</v>
      </c>
      <c r="R23" s="20">
        <f>SUM(Q11:R22)</f>
        <v>-5227.7169999999996</v>
      </c>
      <c r="S23" s="20">
        <f>SUM(S11:S22)</f>
        <v>-31458.564500000011</v>
      </c>
    </row>
    <row r="24" spans="1:19" s="20" customFormat="1" ht="31.5" hidden="1" customHeight="1" x14ac:dyDescent="0.25">
      <c r="A24" s="75"/>
      <c r="L24" s="20">
        <f>L23*M3</f>
        <v>27725.300769999994</v>
      </c>
    </row>
    <row r="25" spans="1:19" ht="31.5" hidden="1" customHeight="1" x14ac:dyDescent="0.25"/>
    <row r="26" spans="1:19" ht="15.75" hidden="1" customHeight="1" x14ac:dyDescent="0.25"/>
    <row r="27" spans="1:19" ht="31.5" hidden="1" customHeight="1" x14ac:dyDescent="0.25">
      <c r="A27" s="57">
        <v>45292</v>
      </c>
      <c r="B27" s="58">
        <v>3907.2</v>
      </c>
      <c r="C27" s="58">
        <v>1147.5</v>
      </c>
      <c r="D27" s="59" t="s">
        <v>30</v>
      </c>
      <c r="E27" s="58" t="s">
        <v>23</v>
      </c>
      <c r="F27" s="60">
        <v>7657</v>
      </c>
      <c r="G27" s="60">
        <f>5630+323+107</f>
        <v>6060</v>
      </c>
      <c r="H27" s="60">
        <f>15+14+5</f>
        <v>34</v>
      </c>
      <c r="I27" s="60">
        <f t="shared" ref="I27:I38" si="5">F27-(G27+H27)</f>
        <v>1563</v>
      </c>
      <c r="J27" s="61">
        <f>I27-329</f>
        <v>1234</v>
      </c>
      <c r="K27" s="81" t="s">
        <v>87</v>
      </c>
      <c r="L27" s="62">
        <f>J27</f>
        <v>1234</v>
      </c>
      <c r="M27" s="63"/>
      <c r="N27" s="63"/>
      <c r="O27" s="65">
        <v>917.99</v>
      </c>
      <c r="P27" s="65">
        <f>O27*O2</f>
        <v>4397.1720999999998</v>
      </c>
      <c r="Q27" s="66"/>
      <c r="R27" s="66">
        <f>L27-O27</f>
        <v>316.01</v>
      </c>
      <c r="S27" s="67">
        <f>R27*O2</f>
        <v>1513.6878999999999</v>
      </c>
    </row>
    <row r="28" spans="1:19" ht="31.5" hidden="1" customHeight="1" x14ac:dyDescent="0.25">
      <c r="A28" s="57">
        <v>45323</v>
      </c>
      <c r="B28" s="58">
        <v>3907.2</v>
      </c>
      <c r="C28" s="58">
        <v>1147.5</v>
      </c>
      <c r="D28" s="59" t="s">
        <v>30</v>
      </c>
      <c r="E28" s="58" t="s">
        <v>23</v>
      </c>
      <c r="F28" s="60">
        <v>6085</v>
      </c>
      <c r="G28" s="60">
        <f>4845+333+170</f>
        <v>5348</v>
      </c>
      <c r="H28" s="60">
        <f>15+14+5</f>
        <v>34</v>
      </c>
      <c r="I28" s="60">
        <f t="shared" si="5"/>
        <v>703</v>
      </c>
      <c r="J28" s="61">
        <f t="shared" ref="J28" si="6">I28</f>
        <v>703</v>
      </c>
      <c r="K28" s="82" t="s">
        <v>88</v>
      </c>
      <c r="L28" s="62">
        <f>J28</f>
        <v>703</v>
      </c>
      <c r="M28" s="63"/>
      <c r="N28" s="63"/>
      <c r="O28" s="65">
        <v>917.99</v>
      </c>
      <c r="P28" s="65">
        <f>O28*O2</f>
        <v>4397.1720999999998</v>
      </c>
      <c r="Q28" s="66">
        <f t="shared" ref="Q28:Q37" si="7">L28-O28</f>
        <v>-214.99</v>
      </c>
      <c r="R28" s="66"/>
      <c r="S28" s="67">
        <f>Q28*O2</f>
        <v>-1029.8021000000001</v>
      </c>
    </row>
    <row r="29" spans="1:19" ht="31.5" hidden="1" customHeight="1" x14ac:dyDescent="0.25">
      <c r="A29" s="57">
        <v>45352</v>
      </c>
      <c r="B29" s="58">
        <v>3907.2</v>
      </c>
      <c r="C29" s="58">
        <v>1147.5</v>
      </c>
      <c r="D29" s="59" t="s">
        <v>30</v>
      </c>
      <c r="E29" s="58" t="s">
        <v>23</v>
      </c>
      <c r="F29" s="60">
        <v>5515</v>
      </c>
      <c r="G29" s="60">
        <f>4969+313+109</f>
        <v>5391</v>
      </c>
      <c r="H29" s="60">
        <f t="shared" ref="H29:H38" si="8">5+14+15</f>
        <v>34</v>
      </c>
      <c r="I29" s="60">
        <f>F29-(G29+H29)</f>
        <v>90</v>
      </c>
      <c r="J29" s="61">
        <f>I29</f>
        <v>90</v>
      </c>
      <c r="K29" s="80" t="s">
        <v>89</v>
      </c>
      <c r="L29" s="62">
        <f>J29</f>
        <v>90</v>
      </c>
      <c r="M29" s="63"/>
      <c r="N29" s="63"/>
      <c r="O29" s="65">
        <v>917.99</v>
      </c>
      <c r="P29" s="65">
        <f>O29*O2</f>
        <v>4397.1720999999998</v>
      </c>
      <c r="Q29" s="66">
        <f t="shared" si="7"/>
        <v>-827.99</v>
      </c>
      <c r="R29" s="66"/>
      <c r="S29" s="67">
        <f>R29*O2</f>
        <v>0</v>
      </c>
    </row>
    <row r="30" spans="1:19" ht="31.5" hidden="1" customHeight="1" x14ac:dyDescent="0.25">
      <c r="A30" s="57">
        <v>45383</v>
      </c>
      <c r="B30" s="58">
        <v>3907.2</v>
      </c>
      <c r="C30" s="58">
        <v>1147.5</v>
      </c>
      <c r="D30" s="59" t="s">
        <v>30</v>
      </c>
      <c r="E30" s="58" t="s">
        <v>23</v>
      </c>
      <c r="F30" s="60">
        <v>6096</v>
      </c>
      <c r="G30" s="60">
        <f>4669+313+109</f>
        <v>5091</v>
      </c>
      <c r="H30" s="60">
        <f t="shared" si="8"/>
        <v>34</v>
      </c>
      <c r="I30" s="60">
        <f>F30-(G30+H30)</f>
        <v>971</v>
      </c>
      <c r="J30" s="61">
        <f>I30</f>
        <v>971</v>
      </c>
      <c r="K30" s="80" t="s">
        <v>90</v>
      </c>
      <c r="L30" s="62">
        <f>J30</f>
        <v>971</v>
      </c>
      <c r="M30" s="63"/>
      <c r="N30" s="63"/>
      <c r="O30" s="65">
        <v>917.99</v>
      </c>
      <c r="P30" s="65">
        <f>O30*O2</f>
        <v>4397.1720999999998</v>
      </c>
      <c r="Q30" s="66"/>
      <c r="R30" s="66">
        <f>L30-O30</f>
        <v>53.009999999999991</v>
      </c>
      <c r="S30" s="67">
        <f>R30*O2</f>
        <v>253.91789999999995</v>
      </c>
    </row>
    <row r="31" spans="1:19" ht="31.5" hidden="1" customHeight="1" x14ac:dyDescent="0.25">
      <c r="A31" s="57">
        <v>45413</v>
      </c>
      <c r="B31" s="58">
        <v>3907.2</v>
      </c>
      <c r="C31" s="58">
        <v>1147.5</v>
      </c>
      <c r="D31" s="59" t="s">
        <v>30</v>
      </c>
      <c r="E31" s="58" t="s">
        <v>23</v>
      </c>
      <c r="F31" s="60">
        <v>4605</v>
      </c>
      <c r="G31" s="60">
        <f>4867+313+109</f>
        <v>5289</v>
      </c>
      <c r="H31" s="60">
        <f t="shared" si="8"/>
        <v>34</v>
      </c>
      <c r="I31" s="60">
        <f>F31-(G31+H31)</f>
        <v>-718</v>
      </c>
      <c r="J31" s="61">
        <f>I31</f>
        <v>-718</v>
      </c>
      <c r="K31" s="80" t="s">
        <v>91</v>
      </c>
      <c r="L31" s="62">
        <f>IF(J31&lt;0,0,I31)</f>
        <v>0</v>
      </c>
      <c r="M31" s="63"/>
      <c r="N31" s="63"/>
      <c r="O31" s="65">
        <v>917.99</v>
      </c>
      <c r="P31" s="65">
        <f>O31*O2</f>
        <v>4397.1720999999998</v>
      </c>
      <c r="Q31" s="66">
        <f t="shared" si="7"/>
        <v>-917.99</v>
      </c>
      <c r="R31" s="66"/>
      <c r="S31" s="67">
        <f>R31*R6</f>
        <v>0</v>
      </c>
    </row>
    <row r="32" spans="1:19" ht="31.5" hidden="1" customHeight="1" x14ac:dyDescent="0.25">
      <c r="A32" s="57">
        <v>45444</v>
      </c>
      <c r="B32" s="58">
        <v>3907.2</v>
      </c>
      <c r="C32" s="58">
        <v>1147.5</v>
      </c>
      <c r="D32" s="59" t="s">
        <v>30</v>
      </c>
      <c r="E32" s="58" t="s">
        <v>23</v>
      </c>
      <c r="F32" s="60">
        <v>6735</v>
      </c>
      <c r="G32" s="60">
        <f>5325+211+33</f>
        <v>5569</v>
      </c>
      <c r="H32" s="60">
        <f t="shared" si="8"/>
        <v>34</v>
      </c>
      <c r="I32" s="60">
        <f>F32-(G32+H32)</f>
        <v>1132</v>
      </c>
      <c r="J32" s="61">
        <f>I32</f>
        <v>1132</v>
      </c>
      <c r="K32" s="80" t="s">
        <v>92</v>
      </c>
      <c r="L32" s="62">
        <f>IF(J32&lt;0,0,I32)</f>
        <v>1132</v>
      </c>
      <c r="M32" s="63"/>
      <c r="N32" s="63"/>
      <c r="O32" s="65">
        <v>917.99</v>
      </c>
      <c r="P32" s="65">
        <f>O32*O2</f>
        <v>4397.1720999999998</v>
      </c>
      <c r="Q32" s="66"/>
      <c r="R32" s="66">
        <f>L32-O32</f>
        <v>214.01</v>
      </c>
      <c r="S32" s="67">
        <f>R32*O2</f>
        <v>1025.1079</v>
      </c>
    </row>
    <row r="33" spans="1:19" ht="31.5" hidden="1" customHeight="1" x14ac:dyDescent="0.25">
      <c r="A33" s="57">
        <v>45474</v>
      </c>
      <c r="B33" s="58">
        <v>3907.2</v>
      </c>
      <c r="C33" s="58">
        <v>1147.5</v>
      </c>
      <c r="D33" s="59" t="s">
        <v>30</v>
      </c>
      <c r="E33" s="58" t="s">
        <v>23</v>
      </c>
      <c r="F33" s="60">
        <v>5278</v>
      </c>
      <c r="G33" s="60">
        <f>4389+224+59</f>
        <v>4672</v>
      </c>
      <c r="H33" s="60">
        <f t="shared" si="8"/>
        <v>34</v>
      </c>
      <c r="I33" s="60">
        <f>F33-(G33+H33)</f>
        <v>572</v>
      </c>
      <c r="J33" s="61">
        <f t="shared" ref="J33:J38" si="9">I33</f>
        <v>572</v>
      </c>
      <c r="K33" s="80" t="s">
        <v>93</v>
      </c>
      <c r="L33" s="62">
        <f>IF(J33&lt;0,0,I33)</f>
        <v>572</v>
      </c>
      <c r="M33" s="63"/>
      <c r="N33" s="63"/>
      <c r="O33" s="65">
        <v>917.99</v>
      </c>
      <c r="P33" s="65">
        <f>O33*O3</f>
        <v>4782.7278999999999</v>
      </c>
      <c r="Q33" s="66">
        <f t="shared" si="7"/>
        <v>-345.99</v>
      </c>
      <c r="R33" s="66"/>
      <c r="S33" s="67">
        <f>R33*O3</f>
        <v>0</v>
      </c>
    </row>
    <row r="34" spans="1:19" ht="31.5" hidden="1" customHeight="1" x14ac:dyDescent="0.25">
      <c r="A34" s="57">
        <v>45505</v>
      </c>
      <c r="B34" s="58">
        <v>3907.2</v>
      </c>
      <c r="C34" s="58">
        <v>1147.5</v>
      </c>
      <c r="D34" s="59" t="s">
        <v>30</v>
      </c>
      <c r="E34" s="58" t="s">
        <v>23</v>
      </c>
      <c r="F34" s="60">
        <v>5755</v>
      </c>
      <c r="G34" s="60">
        <f>4868+169+43</f>
        <v>5080</v>
      </c>
      <c r="H34" s="60">
        <f t="shared" si="8"/>
        <v>34</v>
      </c>
      <c r="I34" s="60">
        <f t="shared" si="5"/>
        <v>641</v>
      </c>
      <c r="J34" s="61">
        <f t="shared" si="9"/>
        <v>641</v>
      </c>
      <c r="K34" s="80" t="s">
        <v>94</v>
      </c>
      <c r="L34" s="62">
        <f>IF(J34&lt;0,0,I34)</f>
        <v>641</v>
      </c>
      <c r="M34" s="63"/>
      <c r="N34" s="63"/>
      <c r="O34" s="65">
        <v>917.99</v>
      </c>
      <c r="P34" s="65">
        <f>O34*O3</f>
        <v>4782.7278999999999</v>
      </c>
      <c r="Q34" s="66">
        <f t="shared" si="7"/>
        <v>-276.99</v>
      </c>
      <c r="R34" s="66"/>
      <c r="S34" s="67">
        <f>R34*O3</f>
        <v>0</v>
      </c>
    </row>
    <row r="35" spans="1:19" ht="31.5" hidden="1" customHeight="1" x14ac:dyDescent="0.25">
      <c r="A35" s="57">
        <v>45536</v>
      </c>
      <c r="B35" s="58">
        <v>3907.2</v>
      </c>
      <c r="C35" s="58">
        <v>1147.5</v>
      </c>
      <c r="D35" s="59" t="s">
        <v>30</v>
      </c>
      <c r="E35" s="58" t="s">
        <v>23</v>
      </c>
      <c r="F35" s="60">
        <v>5030</v>
      </c>
      <c r="G35" s="60">
        <f>4923+463+119</f>
        <v>5505</v>
      </c>
      <c r="H35" s="60">
        <f t="shared" si="8"/>
        <v>34</v>
      </c>
      <c r="I35" s="60">
        <f t="shared" si="5"/>
        <v>-509</v>
      </c>
      <c r="J35" s="61">
        <f t="shared" si="9"/>
        <v>-509</v>
      </c>
      <c r="K35" s="80" t="s">
        <v>95</v>
      </c>
      <c r="L35" s="62">
        <f>IF(J35&lt;0,0,I35)</f>
        <v>0</v>
      </c>
      <c r="M35" s="63"/>
      <c r="N35" s="63"/>
      <c r="O35" s="65">
        <v>917.99</v>
      </c>
      <c r="P35" s="65">
        <f>O35*O3</f>
        <v>4782.7278999999999</v>
      </c>
      <c r="Q35" s="66">
        <f t="shared" si="7"/>
        <v>-917.99</v>
      </c>
      <c r="R35" s="66"/>
      <c r="S35" s="67">
        <f>R35*O3</f>
        <v>0</v>
      </c>
    </row>
    <row r="36" spans="1:19" ht="31.5" hidden="1" customHeight="1" x14ac:dyDescent="0.25">
      <c r="A36" s="57">
        <v>45566</v>
      </c>
      <c r="B36" s="58">
        <v>3907.2</v>
      </c>
      <c r="C36" s="58">
        <v>1147.5</v>
      </c>
      <c r="D36" s="59" t="s">
        <v>30</v>
      </c>
      <c r="E36" s="58" t="s">
        <v>23</v>
      </c>
      <c r="F36" s="60">
        <v>6244</v>
      </c>
      <c r="G36" s="60">
        <f>6498+307+100</f>
        <v>6905</v>
      </c>
      <c r="H36" s="60">
        <f t="shared" si="8"/>
        <v>34</v>
      </c>
      <c r="I36" s="60">
        <f t="shared" si="5"/>
        <v>-695</v>
      </c>
      <c r="J36" s="61">
        <f t="shared" si="9"/>
        <v>-695</v>
      </c>
      <c r="K36" s="80" t="s">
        <v>96</v>
      </c>
      <c r="L36" s="62">
        <f t="shared" ref="L36" si="10">IF(J35&lt;0,0,I35)</f>
        <v>0</v>
      </c>
      <c r="M36" s="63"/>
      <c r="N36" s="63"/>
      <c r="O36" s="65">
        <v>917.99</v>
      </c>
      <c r="P36" s="65">
        <f>O36*O3</f>
        <v>4782.7278999999999</v>
      </c>
      <c r="Q36" s="66">
        <f t="shared" si="7"/>
        <v>-917.99</v>
      </c>
      <c r="R36" s="66"/>
      <c r="S36" s="67">
        <f>R36*O3</f>
        <v>0</v>
      </c>
    </row>
    <row r="37" spans="1:19" ht="31.5" hidden="1" customHeight="1" x14ac:dyDescent="0.25">
      <c r="A37" s="57">
        <v>45597</v>
      </c>
      <c r="B37" s="58">
        <v>3907.2</v>
      </c>
      <c r="C37" s="58">
        <v>1147.5</v>
      </c>
      <c r="D37" s="59" t="s">
        <v>30</v>
      </c>
      <c r="E37" s="58" t="s">
        <v>23</v>
      </c>
      <c r="F37" s="60">
        <v>5673</v>
      </c>
      <c r="G37" s="60">
        <f>5041+307+100</f>
        <v>5448</v>
      </c>
      <c r="H37" s="60">
        <f t="shared" si="8"/>
        <v>34</v>
      </c>
      <c r="I37" s="60">
        <f t="shared" si="5"/>
        <v>191</v>
      </c>
      <c r="J37" s="61">
        <f t="shared" si="9"/>
        <v>191</v>
      </c>
      <c r="K37" s="80" t="s">
        <v>97</v>
      </c>
      <c r="L37" s="62">
        <f>IF(J37&lt;0,0,I37)</f>
        <v>191</v>
      </c>
      <c r="M37" s="63"/>
      <c r="N37" s="63"/>
      <c r="O37" s="65">
        <v>917.99</v>
      </c>
      <c r="P37" s="65">
        <f>O37*O3</f>
        <v>4782.7278999999999</v>
      </c>
      <c r="Q37" s="66">
        <f t="shared" si="7"/>
        <v>-726.99</v>
      </c>
      <c r="R37" s="66"/>
      <c r="S37" s="67">
        <f>R37*O3</f>
        <v>0</v>
      </c>
    </row>
    <row r="38" spans="1:19" ht="31.5" hidden="1" customHeight="1" x14ac:dyDescent="0.25">
      <c r="A38" s="57">
        <v>45627</v>
      </c>
      <c r="B38" s="58">
        <v>3907.2</v>
      </c>
      <c r="C38" s="58">
        <v>1147.5</v>
      </c>
      <c r="D38" s="59" t="s">
        <v>30</v>
      </c>
      <c r="E38" s="58" t="s">
        <v>23</v>
      </c>
      <c r="F38" s="60">
        <v>6052</v>
      </c>
      <c r="G38" s="60">
        <f>4498+48+65</f>
        <v>4611</v>
      </c>
      <c r="H38" s="60">
        <f t="shared" si="8"/>
        <v>34</v>
      </c>
      <c r="I38" s="60">
        <f t="shared" si="5"/>
        <v>1407</v>
      </c>
      <c r="J38" s="61">
        <f t="shared" si="9"/>
        <v>1407</v>
      </c>
      <c r="K38" s="81" t="s">
        <v>98</v>
      </c>
      <c r="L38" s="62">
        <f>IF(J38&lt;0,0,I38)</f>
        <v>1407</v>
      </c>
      <c r="M38" s="63"/>
      <c r="N38" s="63"/>
      <c r="O38" s="65">
        <v>917.99</v>
      </c>
      <c r="P38" s="65">
        <f>O38*O3</f>
        <v>4782.7278999999999</v>
      </c>
      <c r="Q38" s="66"/>
      <c r="R38" s="66">
        <f>L38-O38</f>
        <v>489.01</v>
      </c>
      <c r="S38" s="67">
        <f>R38*O3</f>
        <v>2547.7420999999999</v>
      </c>
    </row>
    <row r="39" spans="1:19" s="20" customFormat="1" ht="31.5" hidden="1" customHeight="1" x14ac:dyDescent="0.25">
      <c r="A39" s="75"/>
      <c r="L39" s="20">
        <f>SUM(L27:L38)</f>
        <v>6941</v>
      </c>
      <c r="O39" s="20">
        <f>SUM(O27:O38)</f>
        <v>11015.88</v>
      </c>
      <c r="P39" s="20">
        <f>SUM(P27:P38)</f>
        <v>55079.399999999987</v>
      </c>
      <c r="R39" s="20">
        <f>SUM(Q27:R32)</f>
        <v>-1377.94</v>
      </c>
      <c r="S39" s="20">
        <f>SUM(S27:S38)</f>
        <v>4310.6536999999998</v>
      </c>
    </row>
    <row r="40" spans="1:19" s="20" customFormat="1" ht="31.5" hidden="1" customHeight="1" x14ac:dyDescent="0.25">
      <c r="A40" s="75"/>
      <c r="L40" s="20">
        <f>L39*P19</f>
        <v>30520771.546099998</v>
      </c>
      <c r="R40" s="20">
        <f>SUM(Q33:R38)</f>
        <v>-2696.9399999999996</v>
      </c>
    </row>
    <row r="41" spans="1:19" hidden="1" x14ac:dyDescent="0.25"/>
    <row r="42" spans="1:19" ht="31.5" customHeight="1" x14ac:dyDescent="0.25">
      <c r="A42" s="57">
        <v>45658</v>
      </c>
      <c r="B42" s="58">
        <v>3907.2</v>
      </c>
      <c r="C42" s="58">
        <v>1147.5</v>
      </c>
      <c r="D42" s="59" t="s">
        <v>30</v>
      </c>
      <c r="E42" s="58" t="s">
        <v>23</v>
      </c>
      <c r="F42" s="60">
        <v>5982</v>
      </c>
      <c r="G42" s="60">
        <f>6020+269+77</f>
        <v>6366</v>
      </c>
      <c r="H42" s="60">
        <f t="shared" ref="H42:H53" si="11">5+14+15</f>
        <v>34</v>
      </c>
      <c r="I42" s="60">
        <f t="shared" ref="I42:I43" si="12">F42-(G42+H42)</f>
        <v>-418</v>
      </c>
      <c r="J42" s="61">
        <f>I42</f>
        <v>-418</v>
      </c>
      <c r="K42" s="93" t="s">
        <v>103</v>
      </c>
      <c r="L42" s="62">
        <v>0</v>
      </c>
      <c r="M42" s="63"/>
      <c r="N42" s="63"/>
      <c r="O42" s="65">
        <v>917.99</v>
      </c>
      <c r="P42" s="65">
        <f>O42*R2</f>
        <v>4782.7278999999999</v>
      </c>
      <c r="Q42" s="66">
        <f>-O42</f>
        <v>-917.99</v>
      </c>
      <c r="R42" s="66"/>
      <c r="S42" s="92">
        <f>Q42*R2</f>
        <v>-4782.7278999999999</v>
      </c>
    </row>
    <row r="43" spans="1:19" ht="31.5" customHeight="1" x14ac:dyDescent="0.25">
      <c r="A43" s="57">
        <v>45689</v>
      </c>
      <c r="B43" s="58">
        <v>3907.2</v>
      </c>
      <c r="C43" s="58">
        <v>1147.5</v>
      </c>
      <c r="D43" s="59" t="s">
        <v>30</v>
      </c>
      <c r="E43" s="58" t="s">
        <v>23</v>
      </c>
      <c r="F43" s="60">
        <v>6921</v>
      </c>
      <c r="G43" s="60">
        <f>4677+381+109</f>
        <v>5167</v>
      </c>
      <c r="H43" s="60">
        <f t="shared" si="11"/>
        <v>34</v>
      </c>
      <c r="I43" s="60">
        <f t="shared" si="12"/>
        <v>1720</v>
      </c>
      <c r="J43" s="61">
        <f t="shared" ref="J43" si="13">I43</f>
        <v>1720</v>
      </c>
      <c r="K43" s="93" t="s">
        <v>104</v>
      </c>
      <c r="L43" s="62">
        <f>J43+J42</f>
        <v>1302</v>
      </c>
      <c r="M43" s="63"/>
      <c r="N43" s="63"/>
      <c r="O43" s="65">
        <v>917.99</v>
      </c>
      <c r="P43" s="65">
        <f>O43*R2</f>
        <v>4782.7278999999999</v>
      </c>
      <c r="Q43" s="66"/>
      <c r="R43" s="66">
        <f>L43-O43</f>
        <v>384.01</v>
      </c>
      <c r="S43" s="92">
        <f>R43*R2</f>
        <v>2000.6921</v>
      </c>
    </row>
    <row r="44" spans="1:19" ht="31.5" customHeight="1" x14ac:dyDescent="0.25">
      <c r="A44" s="57">
        <v>45717</v>
      </c>
      <c r="B44" s="58">
        <v>3907.2</v>
      </c>
      <c r="C44" s="58">
        <v>1147.5</v>
      </c>
      <c r="D44" s="59" t="s">
        <v>30</v>
      </c>
      <c r="E44" s="58" t="s">
        <v>23</v>
      </c>
      <c r="F44" s="60">
        <v>5402</v>
      </c>
      <c r="G44" s="60">
        <f>3841+269+70</f>
        <v>4180</v>
      </c>
      <c r="H44" s="60">
        <f t="shared" si="11"/>
        <v>34</v>
      </c>
      <c r="I44" s="60">
        <f>F44-(G44+H44)</f>
        <v>1188</v>
      </c>
      <c r="J44" s="61">
        <f>I44</f>
        <v>1188</v>
      </c>
      <c r="K44" s="93" t="s">
        <v>105</v>
      </c>
      <c r="L44" s="62">
        <f>J44</f>
        <v>1188</v>
      </c>
      <c r="M44" s="63"/>
      <c r="N44" s="63"/>
      <c r="O44" s="65">
        <v>917.99</v>
      </c>
      <c r="P44" s="65">
        <f>O44*R2</f>
        <v>4782.7278999999999</v>
      </c>
      <c r="Q44" s="66"/>
      <c r="R44" s="66">
        <f>L44-O44</f>
        <v>270.01</v>
      </c>
      <c r="S44" s="92">
        <f>R44*R2</f>
        <v>1406.7520999999999</v>
      </c>
    </row>
    <row r="45" spans="1:19" ht="31.5" customHeight="1" x14ac:dyDescent="0.25">
      <c r="A45" s="57">
        <v>45748</v>
      </c>
      <c r="B45" s="58">
        <v>3907.2</v>
      </c>
      <c r="C45" s="58">
        <v>1147.5</v>
      </c>
      <c r="D45" s="59" t="s">
        <v>30</v>
      </c>
      <c r="E45" s="58" t="s">
        <v>23</v>
      </c>
      <c r="F45" s="60">
        <v>5508</v>
      </c>
      <c r="G45" s="60">
        <f>4866+381+121</f>
        <v>5368</v>
      </c>
      <c r="H45" s="60">
        <f t="shared" si="11"/>
        <v>34</v>
      </c>
      <c r="I45" s="60">
        <f>F45-(G45+H45)</f>
        <v>106</v>
      </c>
      <c r="J45" s="61">
        <f>I45</f>
        <v>106</v>
      </c>
      <c r="K45" s="93" t="s">
        <v>106</v>
      </c>
      <c r="L45" s="62">
        <f>J45</f>
        <v>106</v>
      </c>
      <c r="M45" s="63"/>
      <c r="N45" s="63"/>
      <c r="O45" s="65">
        <v>917.99</v>
      </c>
      <c r="P45" s="65">
        <f>O45*R2</f>
        <v>4782.7278999999999</v>
      </c>
      <c r="Q45" s="66">
        <f>L45-O45</f>
        <v>-811.99</v>
      </c>
      <c r="R45" s="66"/>
      <c r="S45" s="92">
        <f>Q45*R2</f>
        <v>-4230.4678999999996</v>
      </c>
    </row>
    <row r="46" spans="1:19" ht="31.5" customHeight="1" x14ac:dyDescent="0.25">
      <c r="A46" s="57">
        <v>45778</v>
      </c>
      <c r="B46" s="58">
        <v>3907.2</v>
      </c>
      <c r="C46" s="58">
        <v>1147.5</v>
      </c>
      <c r="D46" s="59" t="s">
        <v>30</v>
      </c>
      <c r="E46" s="58" t="s">
        <v>23</v>
      </c>
      <c r="F46" s="60">
        <v>5234</v>
      </c>
      <c r="G46" s="60">
        <f>5593+271+67</f>
        <v>5931</v>
      </c>
      <c r="H46" s="60">
        <f t="shared" si="11"/>
        <v>34</v>
      </c>
      <c r="I46" s="60">
        <f>F46-(G46+H46)</f>
        <v>-731</v>
      </c>
      <c r="J46" s="61">
        <f>I46</f>
        <v>-731</v>
      </c>
      <c r="K46" s="93" t="s">
        <v>107</v>
      </c>
      <c r="L46" s="62">
        <f>IF(J46&lt;0,0,I46)</f>
        <v>0</v>
      </c>
      <c r="M46" s="63"/>
      <c r="N46" s="63"/>
      <c r="O46" s="65">
        <v>917.99</v>
      </c>
      <c r="P46" s="65">
        <f>O46*R2</f>
        <v>4782.7278999999999</v>
      </c>
      <c r="Q46" s="66">
        <f t="shared" ref="Q46" si="14">L46-O46</f>
        <v>-917.99</v>
      </c>
      <c r="R46" s="66"/>
      <c r="S46" s="92">
        <f>Q46*R2</f>
        <v>-4782.7278999999999</v>
      </c>
    </row>
    <row r="47" spans="1:19" ht="31.5" customHeight="1" x14ac:dyDescent="0.25">
      <c r="A47" s="57">
        <v>45809</v>
      </c>
      <c r="B47" s="58">
        <v>3907.2</v>
      </c>
      <c r="C47" s="58">
        <v>1147.5</v>
      </c>
      <c r="D47" s="59" t="s">
        <v>30</v>
      </c>
      <c r="E47" s="58" t="s">
        <v>23</v>
      </c>
      <c r="F47" s="60">
        <v>5932</v>
      </c>
      <c r="G47" s="60">
        <f>3607+343+117</f>
        <v>4067</v>
      </c>
      <c r="H47" s="60">
        <f t="shared" si="11"/>
        <v>34</v>
      </c>
      <c r="I47" s="60">
        <f>F47-(G47+H47)</f>
        <v>1831</v>
      </c>
      <c r="J47" s="61">
        <f>I47+J46</f>
        <v>1100</v>
      </c>
      <c r="K47" s="93" t="s">
        <v>108</v>
      </c>
      <c r="L47" s="62">
        <f>J47</f>
        <v>1100</v>
      </c>
      <c r="M47" s="63"/>
      <c r="N47" s="63"/>
      <c r="O47" s="65">
        <v>917.99</v>
      </c>
      <c r="P47" s="65">
        <f>O47*R2</f>
        <v>4782.7278999999999</v>
      </c>
      <c r="Q47" s="66"/>
      <c r="R47" s="66">
        <f>L47-O47</f>
        <v>182.01</v>
      </c>
      <c r="S47" s="92">
        <f>R47*R2</f>
        <v>948.27209999999991</v>
      </c>
    </row>
    <row r="48" spans="1:19" ht="31.5" customHeight="1" x14ac:dyDescent="0.25">
      <c r="A48" s="57">
        <v>45839</v>
      </c>
      <c r="B48" s="58">
        <v>3907.2</v>
      </c>
      <c r="C48" s="58">
        <v>1147.5</v>
      </c>
      <c r="D48" s="59" t="s">
        <v>30</v>
      </c>
      <c r="E48" s="58" t="s">
        <v>23</v>
      </c>
      <c r="F48" s="60">
        <v>4746</v>
      </c>
      <c r="G48" s="60">
        <f>4717+278+76</f>
        <v>5071</v>
      </c>
      <c r="H48" s="60">
        <f t="shared" si="11"/>
        <v>34</v>
      </c>
      <c r="I48" s="60">
        <f>F48-(G48+H48)</f>
        <v>-359</v>
      </c>
      <c r="J48" s="61">
        <f t="shared" ref="J48:J53" si="15">I48</f>
        <v>-359</v>
      </c>
      <c r="K48" s="93" t="s">
        <v>109</v>
      </c>
      <c r="L48" s="62">
        <f>IF(J48&lt;0,0,I48)</f>
        <v>0</v>
      </c>
      <c r="M48" s="63"/>
      <c r="N48" s="63"/>
      <c r="O48" s="65">
        <v>917.99</v>
      </c>
      <c r="P48" s="65">
        <f>O48*R3</f>
        <v>5379.4214000000002</v>
      </c>
      <c r="Q48" s="66">
        <f t="shared" ref="Q48:Q49" si="16">L48-O48</f>
        <v>-917.99</v>
      </c>
      <c r="R48" s="66"/>
      <c r="S48" s="92">
        <f>Q48*R3</f>
        <v>-5379.4214000000002</v>
      </c>
    </row>
    <row r="49" spans="1:19" ht="31.5" customHeight="1" x14ac:dyDescent="0.25">
      <c r="A49" s="57">
        <v>45870</v>
      </c>
      <c r="B49" s="58">
        <v>3907.2</v>
      </c>
      <c r="C49" s="58">
        <v>1147.5</v>
      </c>
      <c r="D49" s="59" t="s">
        <v>30</v>
      </c>
      <c r="E49" s="58" t="s">
        <v>23</v>
      </c>
      <c r="F49" s="60">
        <v>5416</v>
      </c>
      <c r="G49" s="60">
        <f>4561+278+76</f>
        <v>4915</v>
      </c>
      <c r="H49" s="60">
        <f t="shared" si="11"/>
        <v>34</v>
      </c>
      <c r="I49" s="60">
        <f t="shared" ref="I49:I53" si="17">F49-(G49+H49)</f>
        <v>467</v>
      </c>
      <c r="J49" s="61">
        <f>I49+J48</f>
        <v>108</v>
      </c>
      <c r="K49" s="93" t="s">
        <v>113</v>
      </c>
      <c r="L49" s="62">
        <f>I49+J48</f>
        <v>108</v>
      </c>
      <c r="M49" s="63"/>
      <c r="N49" s="63"/>
      <c r="O49" s="65">
        <v>917.99</v>
      </c>
      <c r="P49" s="65">
        <f>O49*R3</f>
        <v>5379.4214000000002</v>
      </c>
      <c r="Q49" s="66">
        <f t="shared" si="16"/>
        <v>-809.99</v>
      </c>
      <c r="R49" s="66"/>
      <c r="S49" s="92">
        <f>Q49*R3</f>
        <v>-4746.5414000000001</v>
      </c>
    </row>
    <row r="50" spans="1:19" ht="31.5" customHeight="1" x14ac:dyDescent="0.25">
      <c r="A50" s="57">
        <v>45901</v>
      </c>
      <c r="B50" s="58">
        <v>3907.2</v>
      </c>
      <c r="C50" s="58">
        <v>1147.5</v>
      </c>
      <c r="D50" s="59" t="s">
        <v>30</v>
      </c>
      <c r="E50" s="58" t="s">
        <v>23</v>
      </c>
      <c r="F50" s="60">
        <v>5686</v>
      </c>
      <c r="G50" s="60">
        <f>4461+171+69</f>
        <v>4701</v>
      </c>
      <c r="H50" s="60">
        <f t="shared" si="11"/>
        <v>34</v>
      </c>
      <c r="I50" s="60">
        <f t="shared" si="17"/>
        <v>951</v>
      </c>
      <c r="J50" s="61">
        <f t="shared" si="15"/>
        <v>951</v>
      </c>
      <c r="K50" s="93" t="s">
        <v>110</v>
      </c>
      <c r="L50" s="62">
        <f>IF(J50&lt;0,0,I50)</f>
        <v>951</v>
      </c>
      <c r="M50" s="63"/>
      <c r="N50" s="63"/>
      <c r="O50" s="65">
        <v>917.99</v>
      </c>
      <c r="P50" s="65">
        <f>O50*R3</f>
        <v>5379.4214000000002</v>
      </c>
      <c r="Q50" s="66"/>
      <c r="R50" s="66">
        <f>L50-O50</f>
        <v>33.009999999999991</v>
      </c>
      <c r="S50" s="92">
        <f>R50*R3</f>
        <v>193.43859999999995</v>
      </c>
    </row>
    <row r="51" spans="1:19" ht="31.5" customHeight="1" x14ac:dyDescent="0.25">
      <c r="A51" s="57">
        <v>45931</v>
      </c>
      <c r="B51" s="58">
        <v>3907.2</v>
      </c>
      <c r="C51" s="58">
        <v>1147.5</v>
      </c>
      <c r="D51" s="59" t="s">
        <v>30</v>
      </c>
      <c r="E51" s="58" t="s">
        <v>23</v>
      </c>
      <c r="F51" s="60">
        <v>5580</v>
      </c>
      <c r="G51" s="60">
        <f>4172+267+76</f>
        <v>4515</v>
      </c>
      <c r="H51" s="60">
        <f t="shared" si="11"/>
        <v>34</v>
      </c>
      <c r="I51" s="60">
        <f t="shared" si="17"/>
        <v>1031</v>
      </c>
      <c r="J51" s="61">
        <f t="shared" si="15"/>
        <v>1031</v>
      </c>
      <c r="K51" s="93" t="s">
        <v>111</v>
      </c>
      <c r="L51" s="62">
        <f>J51</f>
        <v>1031</v>
      </c>
      <c r="M51" s="63"/>
      <c r="N51" s="63"/>
      <c r="O51" s="65">
        <v>917.99</v>
      </c>
      <c r="P51" s="65">
        <f>O51*R3</f>
        <v>5379.4214000000002</v>
      </c>
      <c r="Q51" s="66"/>
      <c r="R51" s="66">
        <f>L51-O51</f>
        <v>113.00999999999999</v>
      </c>
      <c r="S51" s="92">
        <f>R51*R3</f>
        <v>662.23860000000002</v>
      </c>
    </row>
    <row r="52" spans="1:19" ht="31.5" customHeight="1" x14ac:dyDescent="0.25">
      <c r="A52" s="57">
        <v>45962</v>
      </c>
      <c r="B52" s="58">
        <v>3907.2</v>
      </c>
      <c r="C52" s="58">
        <v>1147.5</v>
      </c>
      <c r="D52" s="59" t="s">
        <v>30</v>
      </c>
      <c r="E52" s="58" t="s">
        <v>23</v>
      </c>
      <c r="F52" s="60">
        <v>6247</v>
      </c>
      <c r="G52" s="60">
        <f>4399-8+24</f>
        <v>4415</v>
      </c>
      <c r="H52" s="60">
        <f t="shared" si="11"/>
        <v>34</v>
      </c>
      <c r="I52" s="60">
        <f t="shared" si="17"/>
        <v>1798</v>
      </c>
      <c r="J52" s="61">
        <f t="shared" si="15"/>
        <v>1798</v>
      </c>
      <c r="K52" s="93" t="s">
        <v>114</v>
      </c>
      <c r="L52" s="62">
        <f>IF(J52&lt;0,0,I52)</f>
        <v>1798</v>
      </c>
      <c r="M52" s="63"/>
      <c r="N52" s="63"/>
      <c r="O52" s="65">
        <v>917.99</v>
      </c>
      <c r="P52" s="65">
        <f>O52*R3</f>
        <v>5379.4214000000002</v>
      </c>
      <c r="Q52" s="66"/>
      <c r="R52" s="66">
        <f>L52-O52</f>
        <v>880.01</v>
      </c>
      <c r="S52" s="92">
        <f>R52*R3</f>
        <v>5156.8586000000005</v>
      </c>
    </row>
    <row r="53" spans="1:19" ht="31.5" customHeight="1" x14ac:dyDescent="0.25">
      <c r="A53" s="57">
        <v>45992</v>
      </c>
      <c r="B53" s="58">
        <v>3907.2</v>
      </c>
      <c r="C53" s="58">
        <v>1147.5</v>
      </c>
      <c r="D53" s="59" t="s">
        <v>30</v>
      </c>
      <c r="E53" s="58" t="s">
        <v>23</v>
      </c>
      <c r="F53" s="60">
        <v>5486</v>
      </c>
      <c r="G53" s="60">
        <f>6467</f>
        <v>6467</v>
      </c>
      <c r="H53" s="60">
        <f t="shared" si="11"/>
        <v>34</v>
      </c>
      <c r="I53" s="60">
        <f t="shared" si="17"/>
        <v>-1015</v>
      </c>
      <c r="J53" s="61">
        <f t="shared" si="15"/>
        <v>-1015</v>
      </c>
      <c r="K53" s="81" t="s">
        <v>112</v>
      </c>
      <c r="L53" s="62">
        <f>IF(J53&lt;0,0,I53)</f>
        <v>0</v>
      </c>
      <c r="M53" s="63"/>
      <c r="N53" s="63"/>
      <c r="O53" s="65">
        <v>917.99</v>
      </c>
      <c r="P53" s="65">
        <f>O53*R3</f>
        <v>5379.4214000000002</v>
      </c>
      <c r="Q53" s="66">
        <f t="shared" ref="Q53" si="18">L53-O53</f>
        <v>-917.99</v>
      </c>
      <c r="R53" s="66"/>
      <c r="S53" s="92">
        <f>Q53*R3</f>
        <v>-5379.4214000000002</v>
      </c>
    </row>
    <row r="54" spans="1:19" s="20" customFormat="1" ht="31.5" customHeight="1" x14ac:dyDescent="0.25">
      <c r="A54" s="75"/>
      <c r="L54" s="20">
        <f>SUM(L42:L53)</f>
        <v>7584</v>
      </c>
      <c r="O54" s="20">
        <f>SUM(O42:O53)</f>
        <v>11015.88</v>
      </c>
      <c r="P54" s="20">
        <f>SUM(P42:P53)</f>
        <v>60972.895799999991</v>
      </c>
      <c r="Q54" s="95" t="s">
        <v>116</v>
      </c>
      <c r="R54" s="95">
        <f>SUM(Q42:R47)</f>
        <v>-1811.94</v>
      </c>
      <c r="S54" s="96">
        <f>SUM(S42:S47)</f>
        <v>-9440.2073999999993</v>
      </c>
    </row>
    <row r="55" spans="1:19" s="20" customFormat="1" ht="31.5" customHeight="1" x14ac:dyDescent="0.25">
      <c r="A55" s="75"/>
      <c r="Q55" s="97" t="s">
        <v>117</v>
      </c>
      <c r="R55" s="95">
        <f>SUM(Q48:R53)</f>
        <v>-1619.94</v>
      </c>
      <c r="S55" s="96">
        <f>SUM(S48:S53)</f>
        <v>-9492.8484000000008</v>
      </c>
    </row>
    <row r="56" spans="1:19" x14ac:dyDescent="0.25">
      <c r="K56" s="90"/>
      <c r="Q56" s="97"/>
      <c r="R56" s="97"/>
      <c r="S56" s="97"/>
    </row>
    <row r="57" spans="1:19" x14ac:dyDescent="0.25">
      <c r="K57" s="90"/>
      <c r="Q57" s="97"/>
      <c r="R57" s="95">
        <f>R54+R55</f>
        <v>-3431.88</v>
      </c>
      <c r="S57" s="96">
        <f>S54+S55</f>
        <v>-18933.055800000002</v>
      </c>
    </row>
    <row r="58" spans="1:19" x14ac:dyDescent="0.25">
      <c r="K58" s="90"/>
    </row>
    <row r="59" spans="1:19" x14ac:dyDescent="0.25">
      <c r="K59" s="90"/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1" x14ac:dyDescent="0.25">
      <c r="K65" s="90"/>
    </row>
    <row r="66" spans="11:11" x14ac:dyDescent="0.25">
      <c r="K66" s="90"/>
    </row>
  </sheetData>
  <sheetProtection algorithmName="SHA-512" hashValue="1f6eu4rJBs2S/olY9Zowue9rRVoVqtsQpdgXkyfe5/AjlsRqDkj5NvAFSoDcZaBR5v/Tax+ycgt6IQA32FWTdg==" saltValue="xGh8Z91mpFxwipaDDVQRtA==" spinCount="100000" sheet="1" objects="1" scenarios="1" selectLockedCells="1" selectUnlockedCells="1"/>
  <mergeCells count="23">
    <mergeCell ref="A1:S1"/>
    <mergeCell ref="M4:M5"/>
    <mergeCell ref="N4:N5"/>
    <mergeCell ref="O4:O5"/>
    <mergeCell ref="P4:P5"/>
    <mergeCell ref="S4:S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S2:S3"/>
    <mergeCell ref="P2:P3"/>
    <mergeCell ref="I4:I5"/>
    <mergeCell ref="K4:L4"/>
    <mergeCell ref="G2:K2"/>
    <mergeCell ref="G3:K3"/>
    <mergeCell ref="J4:J5"/>
  </mergeCells>
  <pageMargins left="0.25" right="0.25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zoomScale="70" zoomScaleNormal="70" workbookViewId="0">
      <selection sqref="A1:D1"/>
    </sheetView>
  </sheetViews>
  <sheetFormatPr defaultRowHeight="15" x14ac:dyDescent="0.25"/>
  <cols>
    <col min="1" max="1" width="12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18.140625" bestFit="1" customWidth="1"/>
    <col min="21" max="21" width="5.42578125" bestFit="1" customWidth="1"/>
    <col min="22" max="22" width="24.5703125" bestFit="1" customWidth="1"/>
    <col min="23" max="23" width="4" customWidth="1"/>
    <col min="24" max="24" width="3.85546875" customWidth="1"/>
    <col min="25" max="25" width="4.7109375" customWidth="1"/>
    <col min="26" max="26" width="4" customWidth="1"/>
    <col min="27" max="27" width="4.7109375" customWidth="1"/>
    <col min="28" max="28" width="4.5703125" customWidth="1"/>
    <col min="29" max="29" width="4.28515625" customWidth="1"/>
    <col min="30" max="30" width="4.7109375" customWidth="1"/>
    <col min="31" max="31" width="4" customWidth="1"/>
    <col min="32" max="32" width="4.28515625" customWidth="1"/>
    <col min="33" max="33" width="3.85546875" customWidth="1"/>
    <col min="34" max="35" width="4.7109375" customWidth="1"/>
    <col min="36" max="36" width="4.42578125" customWidth="1"/>
    <col min="37" max="38" width="4.85546875" customWidth="1"/>
    <col min="39" max="40" width="4.5703125" customWidth="1"/>
    <col min="41" max="41" width="4.42578125" customWidth="1"/>
    <col min="42" max="42" width="5.28515625" customWidth="1"/>
    <col min="43" max="47" width="4.28515625" customWidth="1"/>
    <col min="48" max="48" width="4.42578125" customWidth="1"/>
  </cols>
  <sheetData>
    <row r="1" spans="1:19" ht="20.100000000000001" customHeight="1" x14ac:dyDescent="0.25">
      <c r="A1" s="126" t="s">
        <v>8</v>
      </c>
      <c r="B1" s="126"/>
      <c r="C1" s="126"/>
      <c r="D1" s="126"/>
      <c r="G1" s="149" t="s">
        <v>61</v>
      </c>
      <c r="H1" s="149"/>
      <c r="I1" s="149"/>
      <c r="J1" s="149"/>
      <c r="K1" s="149"/>
      <c r="L1" s="70" t="s">
        <v>25</v>
      </c>
      <c r="M1" s="71">
        <v>4.4000000000000004</v>
      </c>
      <c r="N1" s="70" t="s">
        <v>73</v>
      </c>
      <c r="O1" s="70">
        <v>4.79</v>
      </c>
      <c r="P1" s="117" t="s">
        <v>75</v>
      </c>
      <c r="Q1" s="70" t="s">
        <v>100</v>
      </c>
      <c r="R1" s="70">
        <v>5.21</v>
      </c>
      <c r="S1" s="117" t="s">
        <v>102</v>
      </c>
    </row>
    <row r="2" spans="1:19" ht="20.100000000000001" customHeight="1" x14ac:dyDescent="0.25">
      <c r="G2" s="149" t="s">
        <v>61</v>
      </c>
      <c r="H2" s="149"/>
      <c r="I2" s="149"/>
      <c r="J2" s="149"/>
      <c r="K2" s="149"/>
      <c r="L2" s="70" t="s">
        <v>62</v>
      </c>
      <c r="M2" s="71">
        <v>4.79</v>
      </c>
      <c r="N2" s="70" t="s">
        <v>74</v>
      </c>
      <c r="O2" s="70">
        <v>5.21</v>
      </c>
      <c r="P2" s="117"/>
      <c r="Q2" s="70" t="s">
        <v>101</v>
      </c>
      <c r="R2" s="70">
        <v>5.86</v>
      </c>
      <c r="S2" s="117"/>
    </row>
    <row r="3" spans="1:19" ht="68.25" customHeight="1" x14ac:dyDescent="0.25">
      <c r="A3" s="125" t="s">
        <v>4</v>
      </c>
      <c r="B3" s="125" t="s">
        <v>3</v>
      </c>
      <c r="C3" s="127" t="s">
        <v>13</v>
      </c>
      <c r="D3" s="125" t="s">
        <v>22</v>
      </c>
      <c r="E3" s="125" t="s">
        <v>0</v>
      </c>
      <c r="F3" s="125" t="s">
        <v>9</v>
      </c>
      <c r="G3" s="125" t="s">
        <v>10</v>
      </c>
      <c r="H3" s="125" t="s">
        <v>11</v>
      </c>
      <c r="I3" s="125" t="s">
        <v>12</v>
      </c>
      <c r="J3" s="127" t="s">
        <v>68</v>
      </c>
      <c r="K3" s="125" t="s">
        <v>5</v>
      </c>
      <c r="L3" s="125"/>
      <c r="M3" s="125" t="s">
        <v>14</v>
      </c>
      <c r="N3" s="125" t="s">
        <v>16</v>
      </c>
      <c r="O3" s="127" t="s">
        <v>15</v>
      </c>
      <c r="P3" s="125" t="s">
        <v>7</v>
      </c>
      <c r="Q3" s="125" t="s">
        <v>6</v>
      </c>
      <c r="R3" s="125"/>
      <c r="S3" s="127" t="s">
        <v>63</v>
      </c>
    </row>
    <row r="4" spans="1:19" ht="78" customHeight="1" x14ac:dyDescent="0.25">
      <c r="A4" s="125"/>
      <c r="B4" s="125"/>
      <c r="C4" s="128"/>
      <c r="D4" s="125"/>
      <c r="E4" s="125"/>
      <c r="F4" s="125"/>
      <c r="G4" s="125"/>
      <c r="H4" s="125"/>
      <c r="I4" s="125"/>
      <c r="J4" s="128"/>
      <c r="K4" s="22" t="s">
        <v>1</v>
      </c>
      <c r="L4" s="22" t="s">
        <v>2</v>
      </c>
      <c r="M4" s="125"/>
      <c r="N4" s="125"/>
      <c r="O4" s="128"/>
      <c r="P4" s="125"/>
      <c r="Q4" s="22" t="s">
        <v>69</v>
      </c>
      <c r="R4" s="22" t="s">
        <v>70</v>
      </c>
      <c r="S4" s="128"/>
    </row>
    <row r="5" spans="1:19" ht="20.100000000000001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5">
        <v>19</v>
      </c>
    </row>
    <row r="6" spans="1:19" ht="20.100000000000001" hidden="1" customHeight="1" x14ac:dyDescent="0.25">
      <c r="A6" s="18">
        <v>44805</v>
      </c>
      <c r="B6" s="129">
        <v>2772.9</v>
      </c>
      <c r="C6" s="129">
        <v>897.8</v>
      </c>
      <c r="D6" s="19" t="s">
        <v>17</v>
      </c>
      <c r="E6" s="129" t="s">
        <v>23</v>
      </c>
      <c r="F6" s="131"/>
      <c r="G6" s="131"/>
      <c r="H6" s="131"/>
      <c r="I6" s="131"/>
      <c r="J6" s="131"/>
      <c r="K6" s="133" t="s">
        <v>65</v>
      </c>
      <c r="L6" s="122">
        <v>709</v>
      </c>
      <c r="M6" s="129"/>
      <c r="N6" s="129"/>
      <c r="O6" s="135">
        <v>709.26199999999994</v>
      </c>
      <c r="P6" s="137">
        <f>O6*M1</f>
        <v>3120.7528000000002</v>
      </c>
      <c r="Q6" s="122">
        <v>0</v>
      </c>
      <c r="R6" s="122"/>
      <c r="S6" s="143">
        <v>0</v>
      </c>
    </row>
    <row r="7" spans="1:19" ht="20.100000000000001" hidden="1" customHeight="1" x14ac:dyDescent="0.25">
      <c r="A7" s="18">
        <v>44805</v>
      </c>
      <c r="B7" s="130"/>
      <c r="C7" s="130"/>
      <c r="D7" s="19" t="s">
        <v>27</v>
      </c>
      <c r="E7" s="130"/>
      <c r="F7" s="132"/>
      <c r="G7" s="132"/>
      <c r="H7" s="132"/>
      <c r="I7" s="132"/>
      <c r="J7" s="132"/>
      <c r="K7" s="134"/>
      <c r="L7" s="123"/>
      <c r="M7" s="130"/>
      <c r="N7" s="130"/>
      <c r="O7" s="136"/>
      <c r="P7" s="138"/>
      <c r="Q7" s="123"/>
      <c r="R7" s="123"/>
      <c r="S7" s="143"/>
    </row>
    <row r="8" spans="1:19" ht="20.100000000000001" hidden="1" customHeight="1" x14ac:dyDescent="0.25">
      <c r="A8" s="18">
        <v>44835</v>
      </c>
      <c r="B8" s="129">
        <v>2772.9</v>
      </c>
      <c r="C8" s="129">
        <v>897.8</v>
      </c>
      <c r="D8" s="19" t="s">
        <v>17</v>
      </c>
      <c r="E8" s="129" t="s">
        <v>23</v>
      </c>
      <c r="F8" s="131">
        <f>3834.12+91.56</f>
        <v>3925.68</v>
      </c>
      <c r="G8" s="131">
        <f>4810+54+17</f>
        <v>4881</v>
      </c>
      <c r="H8" s="131">
        <f>14+15</f>
        <v>29</v>
      </c>
      <c r="I8" s="131">
        <f>F8-(G8+H8)</f>
        <v>-984.32000000000016</v>
      </c>
      <c r="J8" s="131">
        <f>I8</f>
        <v>-984.32000000000016</v>
      </c>
      <c r="K8" s="133" t="s">
        <v>64</v>
      </c>
      <c r="L8" s="122">
        <v>0</v>
      </c>
      <c r="M8" s="139"/>
      <c r="N8" s="139"/>
      <c r="O8" s="135">
        <v>709.26199999999994</v>
      </c>
      <c r="P8" s="137">
        <f>O8*M1</f>
        <v>3120.7528000000002</v>
      </c>
      <c r="Q8" s="141">
        <f>O8</f>
        <v>709.26199999999994</v>
      </c>
      <c r="R8" s="122"/>
      <c r="S8" s="143">
        <f>-(Q8*M1)</f>
        <v>-3120.7528000000002</v>
      </c>
    </row>
    <row r="9" spans="1:19" ht="20.100000000000001" hidden="1" customHeight="1" x14ac:dyDescent="0.25">
      <c r="A9" s="18">
        <v>44835</v>
      </c>
      <c r="B9" s="130"/>
      <c r="C9" s="130"/>
      <c r="D9" s="19" t="s">
        <v>27</v>
      </c>
      <c r="E9" s="130"/>
      <c r="F9" s="132"/>
      <c r="G9" s="132"/>
      <c r="H9" s="132"/>
      <c r="I9" s="132"/>
      <c r="J9" s="132"/>
      <c r="K9" s="134"/>
      <c r="L9" s="123"/>
      <c r="M9" s="140"/>
      <c r="N9" s="140"/>
      <c r="O9" s="136"/>
      <c r="P9" s="138"/>
      <c r="Q9" s="142"/>
      <c r="R9" s="123"/>
      <c r="S9" s="143"/>
    </row>
    <row r="10" spans="1:19" ht="31.5" hidden="1" customHeight="1" x14ac:dyDescent="0.25">
      <c r="A10" s="18">
        <v>44866</v>
      </c>
      <c r="B10" s="129">
        <v>2772.9</v>
      </c>
      <c r="C10" s="129">
        <v>897.8</v>
      </c>
      <c r="D10" s="19" t="s">
        <v>17</v>
      </c>
      <c r="E10" s="129" t="s">
        <v>23</v>
      </c>
      <c r="F10" s="131">
        <f>5146.88+98.48</f>
        <v>5245.36</v>
      </c>
      <c r="G10" s="131">
        <f>4610+44+15</f>
        <v>4669</v>
      </c>
      <c r="H10" s="131">
        <f>14+15</f>
        <v>29</v>
      </c>
      <c r="I10" s="131">
        <f>F10-(G10+H10)</f>
        <v>547.35999999999967</v>
      </c>
      <c r="J10" s="131">
        <f>(I8)+I10</f>
        <v>-436.96000000000049</v>
      </c>
      <c r="K10" s="133" t="s">
        <v>66</v>
      </c>
      <c r="L10" s="122">
        <v>0</v>
      </c>
      <c r="M10" s="129"/>
      <c r="N10" s="129"/>
      <c r="O10" s="135">
        <v>709.26199999999994</v>
      </c>
      <c r="P10" s="137">
        <f>O10*M1</f>
        <v>3120.7528000000002</v>
      </c>
      <c r="Q10" s="141">
        <f>O10</f>
        <v>709.26199999999994</v>
      </c>
      <c r="R10" s="122"/>
      <c r="S10" s="143">
        <f>-(Q10*M1)</f>
        <v>-3120.7528000000002</v>
      </c>
    </row>
    <row r="11" spans="1:19" ht="31.5" hidden="1" customHeight="1" x14ac:dyDescent="0.25">
      <c r="A11" s="18">
        <v>44866</v>
      </c>
      <c r="B11" s="130"/>
      <c r="C11" s="130"/>
      <c r="D11" s="19" t="s">
        <v>27</v>
      </c>
      <c r="E11" s="130"/>
      <c r="F11" s="132"/>
      <c r="G11" s="132"/>
      <c r="H11" s="132"/>
      <c r="I11" s="132"/>
      <c r="J11" s="132"/>
      <c r="K11" s="134"/>
      <c r="L11" s="123"/>
      <c r="M11" s="130"/>
      <c r="N11" s="130"/>
      <c r="O11" s="136"/>
      <c r="P11" s="138"/>
      <c r="Q11" s="142"/>
      <c r="R11" s="123"/>
      <c r="S11" s="143"/>
    </row>
    <row r="12" spans="1:19" ht="31.5" hidden="1" customHeight="1" x14ac:dyDescent="0.25">
      <c r="A12" s="18">
        <v>44896</v>
      </c>
      <c r="B12" s="129">
        <v>2772.9</v>
      </c>
      <c r="C12" s="129">
        <v>897.8</v>
      </c>
      <c r="D12" s="19" t="s">
        <v>17</v>
      </c>
      <c r="E12" s="129" t="s">
        <v>23</v>
      </c>
      <c r="F12" s="131">
        <f>101+5006</f>
        <v>5107</v>
      </c>
      <c r="G12" s="131">
        <f>3931+93+34</f>
        <v>4058</v>
      </c>
      <c r="H12" s="131">
        <f>14+15</f>
        <v>29</v>
      </c>
      <c r="I12" s="131">
        <f>F12-(G12+H12)</f>
        <v>1020</v>
      </c>
      <c r="J12" s="131">
        <v>1020</v>
      </c>
      <c r="K12" s="133" t="s">
        <v>67</v>
      </c>
      <c r="L12" s="151">
        <f>I12+J10</f>
        <v>583.03999999999951</v>
      </c>
      <c r="M12" s="139">
        <f>R12/C12</f>
        <v>0.34611049231454677</v>
      </c>
      <c r="N12" s="139">
        <f>M12*M2</f>
        <v>1.657869258186679</v>
      </c>
      <c r="O12" s="135">
        <v>709.26199999999994</v>
      </c>
      <c r="P12" s="137">
        <f>O12*M2</f>
        <v>3397.3649799999998</v>
      </c>
      <c r="Q12" s="150"/>
      <c r="R12" s="141">
        <f>J12-O12</f>
        <v>310.73800000000006</v>
      </c>
      <c r="S12" s="143">
        <f>R12*M2</f>
        <v>1488.4350200000003</v>
      </c>
    </row>
    <row r="13" spans="1:19" ht="31.5" hidden="1" customHeight="1" x14ac:dyDescent="0.25">
      <c r="A13" s="18">
        <v>44896</v>
      </c>
      <c r="B13" s="130"/>
      <c r="C13" s="130"/>
      <c r="D13" s="19" t="s">
        <v>27</v>
      </c>
      <c r="E13" s="130"/>
      <c r="F13" s="132"/>
      <c r="G13" s="132"/>
      <c r="H13" s="132"/>
      <c r="I13" s="132"/>
      <c r="J13" s="132"/>
      <c r="K13" s="134"/>
      <c r="L13" s="123"/>
      <c r="M13" s="140"/>
      <c r="N13" s="140"/>
      <c r="O13" s="136"/>
      <c r="P13" s="138"/>
      <c r="Q13" s="123"/>
      <c r="R13" s="142"/>
      <c r="S13" s="143"/>
    </row>
    <row r="14" spans="1:19" ht="31.5" hidden="1" customHeight="1" x14ac:dyDescent="0.25">
      <c r="A14" s="1"/>
      <c r="B14" s="1"/>
      <c r="C14" s="1"/>
      <c r="Q14" s="20">
        <f>Q10+Q8</f>
        <v>1418.5239999999999</v>
      </c>
      <c r="R14" s="56">
        <f>R12</f>
        <v>310.73800000000006</v>
      </c>
      <c r="S14" s="15">
        <f>SUM(S6:S13)</f>
        <v>-4753.0705799999996</v>
      </c>
    </row>
    <row r="15" spans="1:19" ht="31.5" hidden="1" customHeight="1" x14ac:dyDescent="0.25">
      <c r="B15" s="1"/>
      <c r="C15" s="1"/>
      <c r="S15" s="14"/>
    </row>
    <row r="16" spans="1:19" ht="15.75" hidden="1" customHeight="1" x14ac:dyDescent="0.25">
      <c r="A16" s="57">
        <v>44927</v>
      </c>
      <c r="B16" s="111">
        <v>2772.9</v>
      </c>
      <c r="C16" s="111">
        <v>897.8</v>
      </c>
      <c r="D16" s="59" t="s">
        <v>17</v>
      </c>
      <c r="E16" s="111" t="s">
        <v>23</v>
      </c>
      <c r="F16" s="113">
        <f>5410.72+110.68</f>
        <v>5521.4000000000005</v>
      </c>
      <c r="G16" s="113">
        <f>4680+69+22</f>
        <v>4771</v>
      </c>
      <c r="H16" s="113">
        <f>14+15</f>
        <v>29</v>
      </c>
      <c r="I16" s="113">
        <f>F16-(G16+H16)</f>
        <v>721.40000000000055</v>
      </c>
      <c r="J16" s="113">
        <f>I16</f>
        <v>721.40000000000055</v>
      </c>
      <c r="K16" s="120" t="s">
        <v>76</v>
      </c>
      <c r="L16" s="103">
        <f>IF(J16&lt;0,0,I16)</f>
        <v>721.40000000000055</v>
      </c>
      <c r="M16" s="105"/>
      <c r="N16" s="105"/>
      <c r="O16" s="107">
        <v>709.26199999999994</v>
      </c>
      <c r="P16" s="99">
        <f>O16*M2</f>
        <v>3397.3649799999998</v>
      </c>
      <c r="Q16" s="119"/>
      <c r="R16" s="101">
        <f>L16-O16</f>
        <v>12.138000000000602</v>
      </c>
      <c r="S16" s="145">
        <f>R16*M2</f>
        <v>58.141020000002882</v>
      </c>
    </row>
    <row r="17" spans="1:19" ht="15.75" hidden="1" customHeight="1" x14ac:dyDescent="0.25">
      <c r="A17" s="57">
        <v>44927</v>
      </c>
      <c r="B17" s="112"/>
      <c r="C17" s="112"/>
      <c r="D17" s="59" t="s">
        <v>27</v>
      </c>
      <c r="E17" s="112"/>
      <c r="F17" s="114"/>
      <c r="G17" s="114"/>
      <c r="H17" s="114"/>
      <c r="I17" s="114"/>
      <c r="J17" s="114"/>
      <c r="K17" s="121"/>
      <c r="L17" s="104"/>
      <c r="M17" s="106"/>
      <c r="N17" s="106"/>
      <c r="O17" s="108"/>
      <c r="P17" s="109"/>
      <c r="Q17" s="104"/>
      <c r="R17" s="102"/>
      <c r="S17" s="145"/>
    </row>
    <row r="18" spans="1:19" ht="15.75" hidden="1" customHeight="1" x14ac:dyDescent="0.25">
      <c r="A18" s="57">
        <v>44958</v>
      </c>
      <c r="B18" s="111">
        <v>2772.9</v>
      </c>
      <c r="C18" s="111">
        <v>897.8</v>
      </c>
      <c r="D18" s="59" t="s">
        <v>17</v>
      </c>
      <c r="E18" s="111" t="s">
        <v>23</v>
      </c>
      <c r="F18" s="113">
        <f>3608.32+78</f>
        <v>3686.32</v>
      </c>
      <c r="G18" s="113">
        <f>4588+100+33</f>
        <v>4721</v>
      </c>
      <c r="H18" s="113">
        <f>14+15</f>
        <v>29</v>
      </c>
      <c r="I18" s="113">
        <f t="shared" ref="I18" si="0">F18-(G18+H18)</f>
        <v>-1063.6799999999998</v>
      </c>
      <c r="J18" s="113">
        <f t="shared" ref="J18" si="1">I18</f>
        <v>-1063.6799999999998</v>
      </c>
      <c r="K18" s="120"/>
      <c r="L18" s="103">
        <f t="shared" ref="L18" si="2">IF(J18&lt;0,0,I18)</f>
        <v>0</v>
      </c>
      <c r="M18" s="105"/>
      <c r="N18" s="105"/>
      <c r="O18" s="107">
        <v>709.26199999999994</v>
      </c>
      <c r="P18" s="99">
        <f>O18*M2</f>
        <v>3397.3649799999998</v>
      </c>
      <c r="Q18" s="119">
        <f>L18-O18</f>
        <v>-709.26199999999994</v>
      </c>
      <c r="R18" s="101"/>
      <c r="S18" s="145">
        <f>Q18*M2</f>
        <v>-3397.3649799999998</v>
      </c>
    </row>
    <row r="19" spans="1:19" ht="15.75" hidden="1" customHeight="1" x14ac:dyDescent="0.25">
      <c r="A19" s="57">
        <v>44958</v>
      </c>
      <c r="B19" s="112"/>
      <c r="C19" s="112"/>
      <c r="D19" s="59" t="s">
        <v>27</v>
      </c>
      <c r="E19" s="112"/>
      <c r="F19" s="114"/>
      <c r="G19" s="114"/>
      <c r="H19" s="114"/>
      <c r="I19" s="114"/>
      <c r="J19" s="114"/>
      <c r="K19" s="121"/>
      <c r="L19" s="104"/>
      <c r="M19" s="106"/>
      <c r="N19" s="106"/>
      <c r="O19" s="108"/>
      <c r="P19" s="109"/>
      <c r="Q19" s="104"/>
      <c r="R19" s="102"/>
      <c r="S19" s="145"/>
    </row>
    <row r="20" spans="1:19" ht="15.75" hidden="1" customHeight="1" x14ac:dyDescent="0.25">
      <c r="A20" s="57">
        <v>44986</v>
      </c>
      <c r="B20" s="111">
        <v>2772.9</v>
      </c>
      <c r="C20" s="111">
        <v>897.8</v>
      </c>
      <c r="D20" s="59" t="s">
        <v>17</v>
      </c>
      <c r="E20" s="111" t="s">
        <v>23</v>
      </c>
      <c r="F20" s="113">
        <f>5871.52+120.56</f>
        <v>5992.0800000000008</v>
      </c>
      <c r="G20" s="113">
        <f>4833+27+9</f>
        <v>4869</v>
      </c>
      <c r="H20" s="113">
        <f>14+15</f>
        <v>29</v>
      </c>
      <c r="I20" s="113">
        <f t="shared" ref="I20" si="3">F20-(G20+H20)</f>
        <v>1094.0800000000008</v>
      </c>
      <c r="J20" s="113">
        <f>I20+J18+1</f>
        <v>31.400000000001</v>
      </c>
      <c r="K20" s="120" t="s">
        <v>77</v>
      </c>
      <c r="L20" s="103">
        <f>J20</f>
        <v>31.400000000001</v>
      </c>
      <c r="M20" s="105"/>
      <c r="N20" s="105"/>
      <c r="O20" s="107">
        <v>709.26199999999994</v>
      </c>
      <c r="P20" s="99">
        <f>O20*M2</f>
        <v>3397.3649799999998</v>
      </c>
      <c r="Q20" s="119">
        <f>L20-O20</f>
        <v>-677.86199999999894</v>
      </c>
      <c r="R20" s="101"/>
      <c r="S20" s="145">
        <f>Q20*M2</f>
        <v>-3246.9589799999949</v>
      </c>
    </row>
    <row r="21" spans="1:19" ht="15.75" hidden="1" customHeight="1" x14ac:dyDescent="0.25">
      <c r="A21" s="57">
        <v>44986</v>
      </c>
      <c r="B21" s="112"/>
      <c r="C21" s="112"/>
      <c r="D21" s="59" t="s">
        <v>27</v>
      </c>
      <c r="E21" s="112"/>
      <c r="F21" s="114"/>
      <c r="G21" s="114"/>
      <c r="H21" s="114"/>
      <c r="I21" s="114"/>
      <c r="J21" s="114"/>
      <c r="K21" s="121"/>
      <c r="L21" s="104"/>
      <c r="M21" s="106"/>
      <c r="N21" s="106"/>
      <c r="O21" s="108"/>
      <c r="P21" s="109"/>
      <c r="Q21" s="104"/>
      <c r="R21" s="102"/>
      <c r="S21" s="145"/>
    </row>
    <row r="22" spans="1:19" ht="15.75" hidden="1" customHeight="1" x14ac:dyDescent="0.25">
      <c r="A22" s="57">
        <v>45017</v>
      </c>
      <c r="B22" s="111">
        <v>2772.9</v>
      </c>
      <c r="C22" s="111">
        <v>897.8</v>
      </c>
      <c r="D22" s="59" t="s">
        <v>17</v>
      </c>
      <c r="E22" s="111" t="s">
        <v>23</v>
      </c>
      <c r="F22" s="113">
        <f>4918.44+150.64</f>
        <v>5069.08</v>
      </c>
      <c r="G22" s="113">
        <f>4465+58+23</f>
        <v>4546</v>
      </c>
      <c r="H22" s="113">
        <f>14+15</f>
        <v>29</v>
      </c>
      <c r="I22" s="113">
        <f t="shared" ref="I22" si="4">F22-(G22+H22)</f>
        <v>494.07999999999993</v>
      </c>
      <c r="J22" s="113">
        <f t="shared" ref="J22" si="5">I22</f>
        <v>494.07999999999993</v>
      </c>
      <c r="K22" s="120" t="s">
        <v>78</v>
      </c>
      <c r="L22" s="103">
        <f t="shared" ref="L22" si="6">IF(J22&lt;0,0,I22)</f>
        <v>494.07999999999993</v>
      </c>
      <c r="M22" s="105"/>
      <c r="N22" s="105"/>
      <c r="O22" s="107">
        <v>709.26199999999994</v>
      </c>
      <c r="P22" s="99">
        <f>O22*M2</f>
        <v>3397.3649799999998</v>
      </c>
      <c r="Q22" s="119">
        <f>L22-O22</f>
        <v>-215.18200000000002</v>
      </c>
      <c r="R22" s="101"/>
      <c r="S22" s="145">
        <f>Q22*M2</f>
        <v>-1030.7217800000001</v>
      </c>
    </row>
    <row r="23" spans="1:19" ht="15.75" hidden="1" customHeight="1" x14ac:dyDescent="0.25">
      <c r="A23" s="57">
        <v>45017</v>
      </c>
      <c r="B23" s="112"/>
      <c r="C23" s="112"/>
      <c r="D23" s="59" t="s">
        <v>27</v>
      </c>
      <c r="E23" s="112"/>
      <c r="F23" s="114"/>
      <c r="G23" s="114"/>
      <c r="H23" s="114"/>
      <c r="I23" s="114"/>
      <c r="J23" s="114"/>
      <c r="K23" s="121"/>
      <c r="L23" s="104"/>
      <c r="M23" s="106"/>
      <c r="N23" s="106"/>
      <c r="O23" s="108"/>
      <c r="P23" s="109"/>
      <c r="Q23" s="104"/>
      <c r="R23" s="102"/>
      <c r="S23" s="145"/>
    </row>
    <row r="24" spans="1:19" ht="15.75" hidden="1" customHeight="1" x14ac:dyDescent="0.25">
      <c r="A24" s="57">
        <v>45047</v>
      </c>
      <c r="B24" s="111">
        <v>2772.9</v>
      </c>
      <c r="C24" s="111">
        <v>897.8</v>
      </c>
      <c r="D24" s="59" t="s">
        <v>17</v>
      </c>
      <c r="E24" s="111" t="s">
        <v>23</v>
      </c>
      <c r="F24" s="113">
        <f>5461.84+197.04</f>
        <v>5658.88</v>
      </c>
      <c r="G24" s="113">
        <f>6305+91+32</f>
        <v>6428</v>
      </c>
      <c r="H24" s="113">
        <f t="shared" ref="H24" si="7">14+15</f>
        <v>29</v>
      </c>
      <c r="I24" s="113">
        <f t="shared" ref="I24" si="8">F24-(G24+H24)</f>
        <v>-798.11999999999989</v>
      </c>
      <c r="J24" s="113">
        <f t="shared" ref="J24" si="9">I24</f>
        <v>-798.11999999999989</v>
      </c>
      <c r="K24" s="120" t="s">
        <v>79</v>
      </c>
      <c r="L24" s="103">
        <f t="shared" ref="L24" si="10">IF(J24&lt;0,0,I24)</f>
        <v>0</v>
      </c>
      <c r="M24" s="105"/>
      <c r="N24" s="105"/>
      <c r="O24" s="107">
        <v>709.26199999999994</v>
      </c>
      <c r="P24" s="99">
        <f>O24*M2</f>
        <v>3397.3649799999998</v>
      </c>
      <c r="Q24" s="119">
        <f>L24-O24</f>
        <v>-709.26199999999994</v>
      </c>
      <c r="R24" s="101"/>
      <c r="S24" s="145">
        <f>Q24*M2</f>
        <v>-3397.3649799999998</v>
      </c>
    </row>
    <row r="25" spans="1:19" ht="15.75" hidden="1" customHeight="1" x14ac:dyDescent="0.25">
      <c r="A25" s="57">
        <v>45047</v>
      </c>
      <c r="B25" s="112"/>
      <c r="C25" s="112"/>
      <c r="D25" s="59" t="s">
        <v>27</v>
      </c>
      <c r="E25" s="112"/>
      <c r="F25" s="114"/>
      <c r="G25" s="114"/>
      <c r="H25" s="114"/>
      <c r="I25" s="114"/>
      <c r="J25" s="114"/>
      <c r="K25" s="121"/>
      <c r="L25" s="104"/>
      <c r="M25" s="106"/>
      <c r="N25" s="106"/>
      <c r="O25" s="108"/>
      <c r="P25" s="109"/>
      <c r="Q25" s="104"/>
      <c r="R25" s="102"/>
      <c r="S25" s="145"/>
    </row>
    <row r="26" spans="1:19" ht="15.75" hidden="1" customHeight="1" x14ac:dyDescent="0.25">
      <c r="A26" s="57">
        <v>45078</v>
      </c>
      <c r="B26" s="111">
        <v>2772.9</v>
      </c>
      <c r="C26" s="111">
        <v>897.8</v>
      </c>
      <c r="D26" s="59" t="s">
        <v>17</v>
      </c>
      <c r="E26" s="111" t="s">
        <v>23</v>
      </c>
      <c r="F26" s="113">
        <f>4983.64+166.4</f>
        <v>5150.04</v>
      </c>
      <c r="G26" s="113">
        <f>3589+23+9</f>
        <v>3621</v>
      </c>
      <c r="H26" s="113">
        <f t="shared" ref="H26" si="11">14+15</f>
        <v>29</v>
      </c>
      <c r="I26" s="113">
        <f t="shared" ref="I26" si="12">F26-(G26+H26)</f>
        <v>1500.04</v>
      </c>
      <c r="J26" s="113">
        <f>I26+J24</f>
        <v>701.92000000000007</v>
      </c>
      <c r="K26" s="120" t="s">
        <v>80</v>
      </c>
      <c r="L26" s="103">
        <f>J26</f>
        <v>701.92000000000007</v>
      </c>
      <c r="M26" s="105"/>
      <c r="N26" s="105"/>
      <c r="O26" s="107">
        <v>709.26199999999994</v>
      </c>
      <c r="P26" s="99">
        <f>O26*M2</f>
        <v>3397.3649799999998</v>
      </c>
      <c r="Q26" s="119">
        <f>L26-O26</f>
        <v>-7.3419999999998709</v>
      </c>
      <c r="R26" s="101"/>
      <c r="S26" s="145">
        <f>Q26*M2</f>
        <v>-35.168179999999381</v>
      </c>
    </row>
    <row r="27" spans="1:19" ht="15.75" hidden="1" customHeight="1" x14ac:dyDescent="0.25">
      <c r="A27" s="57">
        <v>45078</v>
      </c>
      <c r="B27" s="112"/>
      <c r="C27" s="112"/>
      <c r="D27" s="59" t="s">
        <v>27</v>
      </c>
      <c r="E27" s="112"/>
      <c r="F27" s="114"/>
      <c r="G27" s="114"/>
      <c r="H27" s="114"/>
      <c r="I27" s="114"/>
      <c r="J27" s="114"/>
      <c r="K27" s="121"/>
      <c r="L27" s="104"/>
      <c r="M27" s="106"/>
      <c r="N27" s="106"/>
      <c r="O27" s="108"/>
      <c r="P27" s="109"/>
      <c r="Q27" s="104"/>
      <c r="R27" s="102"/>
      <c r="S27" s="145"/>
    </row>
    <row r="28" spans="1:19" ht="15.75" hidden="1" customHeight="1" x14ac:dyDescent="0.25">
      <c r="A28" s="57">
        <v>45108</v>
      </c>
      <c r="B28" s="111">
        <v>2772.9</v>
      </c>
      <c r="C28" s="111">
        <v>897.8</v>
      </c>
      <c r="D28" s="59" t="s">
        <v>17</v>
      </c>
      <c r="E28" s="111" t="s">
        <v>23</v>
      </c>
      <c r="F28" s="113">
        <f>4328.68+152.28</f>
        <v>4480.96</v>
      </c>
      <c r="G28" s="113">
        <f>3951+58+23</f>
        <v>4032</v>
      </c>
      <c r="H28" s="113">
        <f t="shared" ref="H28" si="13">14+15</f>
        <v>29</v>
      </c>
      <c r="I28" s="113">
        <f t="shared" ref="I28" si="14">F28-(G28+H28)</f>
        <v>419.96000000000004</v>
      </c>
      <c r="J28" s="113">
        <f t="shared" ref="J28" si="15">I28</f>
        <v>419.96000000000004</v>
      </c>
      <c r="K28" s="120" t="s">
        <v>81</v>
      </c>
      <c r="L28" s="103">
        <f t="shared" ref="L28" si="16">IF(J28&lt;0,0,I28)</f>
        <v>419.96000000000004</v>
      </c>
      <c r="M28" s="105"/>
      <c r="N28" s="105"/>
      <c r="O28" s="107">
        <v>709.26199999999994</v>
      </c>
      <c r="P28" s="99">
        <f>O28*M2</f>
        <v>3397.3649799999998</v>
      </c>
      <c r="Q28" s="119">
        <f>L28-O28</f>
        <v>-289.30199999999991</v>
      </c>
      <c r="R28" s="101"/>
      <c r="S28" s="145">
        <f>Q28*M2</f>
        <v>-1385.7565799999995</v>
      </c>
    </row>
    <row r="29" spans="1:19" ht="15.75" hidden="1" customHeight="1" x14ac:dyDescent="0.25">
      <c r="A29" s="57">
        <v>45108</v>
      </c>
      <c r="B29" s="112"/>
      <c r="C29" s="112"/>
      <c r="D29" s="59" t="s">
        <v>27</v>
      </c>
      <c r="E29" s="112"/>
      <c r="F29" s="114"/>
      <c r="G29" s="114"/>
      <c r="H29" s="114"/>
      <c r="I29" s="114"/>
      <c r="J29" s="114"/>
      <c r="K29" s="121"/>
      <c r="L29" s="104"/>
      <c r="M29" s="106"/>
      <c r="N29" s="106"/>
      <c r="O29" s="108"/>
      <c r="P29" s="109"/>
      <c r="Q29" s="104"/>
      <c r="R29" s="102"/>
      <c r="S29" s="145"/>
    </row>
    <row r="30" spans="1:19" ht="15.75" hidden="1" customHeight="1" x14ac:dyDescent="0.25">
      <c r="A30" s="57">
        <v>45139</v>
      </c>
      <c r="B30" s="111">
        <v>2772.9</v>
      </c>
      <c r="C30" s="111">
        <v>897.8</v>
      </c>
      <c r="D30" s="59" t="s">
        <v>17</v>
      </c>
      <c r="E30" s="111" t="s">
        <v>23</v>
      </c>
      <c r="F30" s="113">
        <f>5528.4+168.48</f>
        <v>5696.8799999999992</v>
      </c>
      <c r="G30" s="113">
        <f>4500+52+20</f>
        <v>4572</v>
      </c>
      <c r="H30" s="113">
        <f t="shared" ref="H30" si="17">14+15</f>
        <v>29</v>
      </c>
      <c r="I30" s="113">
        <f t="shared" ref="I30" si="18">F30-(G30+H30)</f>
        <v>1095.8799999999992</v>
      </c>
      <c r="J30" s="113">
        <f>I30-1</f>
        <v>1094.8799999999992</v>
      </c>
      <c r="K30" s="120" t="s">
        <v>82</v>
      </c>
      <c r="L30" s="103">
        <f>J30</f>
        <v>1094.8799999999992</v>
      </c>
      <c r="M30" s="105"/>
      <c r="N30" s="105"/>
      <c r="O30" s="107">
        <v>709.26199999999994</v>
      </c>
      <c r="P30" s="99">
        <f>O30*M2</f>
        <v>3397.3649799999998</v>
      </c>
      <c r="Q30" s="119"/>
      <c r="R30" s="101">
        <f>L30-O30</f>
        <v>385.61799999999926</v>
      </c>
      <c r="S30" s="145">
        <f>R30*M2</f>
        <v>1847.1102199999964</v>
      </c>
    </row>
    <row r="31" spans="1:19" ht="15.75" hidden="1" customHeight="1" x14ac:dyDescent="0.25">
      <c r="A31" s="57">
        <v>45139</v>
      </c>
      <c r="B31" s="112"/>
      <c r="C31" s="112"/>
      <c r="D31" s="59" t="s">
        <v>27</v>
      </c>
      <c r="E31" s="112"/>
      <c r="F31" s="114"/>
      <c r="G31" s="114"/>
      <c r="H31" s="114"/>
      <c r="I31" s="114"/>
      <c r="J31" s="114"/>
      <c r="K31" s="121"/>
      <c r="L31" s="104"/>
      <c r="M31" s="106"/>
      <c r="N31" s="106"/>
      <c r="O31" s="108"/>
      <c r="P31" s="109"/>
      <c r="Q31" s="104"/>
      <c r="R31" s="102"/>
      <c r="S31" s="145"/>
    </row>
    <row r="32" spans="1:19" ht="15.75" hidden="1" customHeight="1" x14ac:dyDescent="0.25">
      <c r="A32" s="57">
        <v>45170</v>
      </c>
      <c r="B32" s="111">
        <v>2772.9</v>
      </c>
      <c r="C32" s="111">
        <v>897.8</v>
      </c>
      <c r="D32" s="59" t="s">
        <v>17</v>
      </c>
      <c r="E32" s="111" t="s">
        <v>23</v>
      </c>
      <c r="F32" s="113">
        <f>5001.6+170.84</f>
        <v>5172.4400000000005</v>
      </c>
      <c r="G32" s="113">
        <f>4628+50+16</f>
        <v>4694</v>
      </c>
      <c r="H32" s="113">
        <f t="shared" ref="H32" si="19">14+15</f>
        <v>29</v>
      </c>
      <c r="I32" s="113">
        <f t="shared" ref="I32" si="20">F32-(G32+H32)</f>
        <v>449.44000000000051</v>
      </c>
      <c r="J32" s="113">
        <f>I32+1</f>
        <v>450.44000000000051</v>
      </c>
      <c r="K32" s="120" t="s">
        <v>83</v>
      </c>
      <c r="L32" s="103">
        <f>J32</f>
        <v>450.44000000000051</v>
      </c>
      <c r="M32" s="105"/>
      <c r="N32" s="105"/>
      <c r="O32" s="107">
        <v>709.26199999999994</v>
      </c>
      <c r="P32" s="99">
        <f>O32*M2</f>
        <v>3397.3649799999998</v>
      </c>
      <c r="Q32" s="119">
        <f>L32-O32</f>
        <v>-258.82199999999943</v>
      </c>
      <c r="R32" s="101"/>
      <c r="S32" s="145">
        <f>Q32*M2</f>
        <v>-1239.7573799999973</v>
      </c>
    </row>
    <row r="33" spans="1:19" ht="15.75" hidden="1" customHeight="1" x14ac:dyDescent="0.25">
      <c r="A33" s="57">
        <v>45170</v>
      </c>
      <c r="B33" s="112"/>
      <c r="C33" s="112"/>
      <c r="D33" s="59" t="s">
        <v>27</v>
      </c>
      <c r="E33" s="112"/>
      <c r="F33" s="114"/>
      <c r="G33" s="114"/>
      <c r="H33" s="114"/>
      <c r="I33" s="114"/>
      <c r="J33" s="114"/>
      <c r="K33" s="121"/>
      <c r="L33" s="104"/>
      <c r="M33" s="106"/>
      <c r="N33" s="106"/>
      <c r="O33" s="108"/>
      <c r="P33" s="109"/>
      <c r="Q33" s="104"/>
      <c r="R33" s="102"/>
      <c r="S33" s="145"/>
    </row>
    <row r="34" spans="1:19" ht="15.75" hidden="1" customHeight="1" x14ac:dyDescent="0.25">
      <c r="A34" s="57">
        <v>45200</v>
      </c>
      <c r="B34" s="111">
        <v>2772.9</v>
      </c>
      <c r="C34" s="111">
        <v>897.8</v>
      </c>
      <c r="D34" s="59" t="s">
        <v>17</v>
      </c>
      <c r="E34" s="111" t="s">
        <v>23</v>
      </c>
      <c r="F34" s="113">
        <f>5470.6+178.8</f>
        <v>5649.4000000000005</v>
      </c>
      <c r="G34" s="113">
        <f>4904+55+18</f>
        <v>4977</v>
      </c>
      <c r="H34" s="113">
        <f t="shared" ref="H34" si="21">14+15</f>
        <v>29</v>
      </c>
      <c r="I34" s="113">
        <f t="shared" ref="I34" si="22">F34-(G34+H34)</f>
        <v>643.40000000000055</v>
      </c>
      <c r="J34" s="113">
        <f>I34+1</f>
        <v>644.40000000000055</v>
      </c>
      <c r="K34" s="120" t="s">
        <v>84</v>
      </c>
      <c r="L34" s="103">
        <f>J34</f>
        <v>644.40000000000055</v>
      </c>
      <c r="M34" s="105"/>
      <c r="N34" s="105"/>
      <c r="O34" s="107">
        <v>709.26199999999994</v>
      </c>
      <c r="P34" s="99">
        <f>O34*M2</f>
        <v>3397.3649799999998</v>
      </c>
      <c r="Q34" s="119">
        <f>L34-O34</f>
        <v>-64.861999999999398</v>
      </c>
      <c r="R34" s="101"/>
      <c r="S34" s="145">
        <f>Q34*M2</f>
        <v>-310.68897999999712</v>
      </c>
    </row>
    <row r="35" spans="1:19" ht="15.75" hidden="1" customHeight="1" x14ac:dyDescent="0.25">
      <c r="A35" s="57">
        <v>45200</v>
      </c>
      <c r="B35" s="112"/>
      <c r="C35" s="112"/>
      <c r="D35" s="59" t="s">
        <v>27</v>
      </c>
      <c r="E35" s="112"/>
      <c r="F35" s="114"/>
      <c r="G35" s="114"/>
      <c r="H35" s="114"/>
      <c r="I35" s="114"/>
      <c r="J35" s="114"/>
      <c r="K35" s="121"/>
      <c r="L35" s="104"/>
      <c r="M35" s="106"/>
      <c r="N35" s="106"/>
      <c r="O35" s="108"/>
      <c r="P35" s="109"/>
      <c r="Q35" s="104"/>
      <c r="R35" s="102"/>
      <c r="S35" s="145"/>
    </row>
    <row r="36" spans="1:19" ht="15.75" hidden="1" customHeight="1" x14ac:dyDescent="0.25">
      <c r="A36" s="57">
        <v>45231</v>
      </c>
      <c r="B36" s="111">
        <v>2772.9</v>
      </c>
      <c r="C36" s="111">
        <v>897.8</v>
      </c>
      <c r="D36" s="59" t="s">
        <v>17</v>
      </c>
      <c r="E36" s="111" t="s">
        <v>23</v>
      </c>
      <c r="F36" s="113">
        <f>5471.56+163.64</f>
        <v>5635.2000000000007</v>
      </c>
      <c r="G36" s="113">
        <f>5037+65+24</f>
        <v>5126</v>
      </c>
      <c r="H36" s="113">
        <f t="shared" ref="H36" si="23">14+15</f>
        <v>29</v>
      </c>
      <c r="I36" s="113">
        <f t="shared" ref="I36" si="24">F36-(G36+H36)</f>
        <v>480.20000000000073</v>
      </c>
      <c r="J36" s="113">
        <f>I36+1</f>
        <v>481.20000000000073</v>
      </c>
      <c r="K36" s="120" t="s">
        <v>85</v>
      </c>
      <c r="L36" s="103">
        <f>J36</f>
        <v>481.20000000000073</v>
      </c>
      <c r="M36" s="105"/>
      <c r="N36" s="105"/>
      <c r="O36" s="107">
        <v>709.26199999999994</v>
      </c>
      <c r="P36" s="99">
        <f>O36*M2</f>
        <v>3397.3649799999998</v>
      </c>
      <c r="Q36" s="119">
        <f>L36-O36</f>
        <v>-228.06199999999922</v>
      </c>
      <c r="R36" s="101"/>
      <c r="S36" s="145">
        <f>Q36*M2</f>
        <v>-1092.4169799999963</v>
      </c>
    </row>
    <row r="37" spans="1:19" ht="15.75" hidden="1" customHeight="1" x14ac:dyDescent="0.25">
      <c r="A37" s="57">
        <v>45231</v>
      </c>
      <c r="B37" s="112"/>
      <c r="C37" s="112"/>
      <c r="D37" s="59" t="s">
        <v>27</v>
      </c>
      <c r="E37" s="112"/>
      <c r="F37" s="114"/>
      <c r="G37" s="114"/>
      <c r="H37" s="114"/>
      <c r="I37" s="114"/>
      <c r="J37" s="114"/>
      <c r="K37" s="121"/>
      <c r="L37" s="104"/>
      <c r="M37" s="106"/>
      <c r="N37" s="106"/>
      <c r="O37" s="108"/>
      <c r="P37" s="109"/>
      <c r="Q37" s="104"/>
      <c r="R37" s="102"/>
      <c r="S37" s="145"/>
    </row>
    <row r="38" spans="1:19" ht="15.75" hidden="1" customHeight="1" x14ac:dyDescent="0.25">
      <c r="A38" s="57">
        <v>45261</v>
      </c>
      <c r="B38" s="111">
        <v>2772.9</v>
      </c>
      <c r="C38" s="111">
        <v>897.8</v>
      </c>
      <c r="D38" s="59" t="s">
        <v>17</v>
      </c>
      <c r="E38" s="111" t="s">
        <v>23</v>
      </c>
      <c r="F38" s="113">
        <f>5932.8+150.84</f>
        <v>6083.64</v>
      </c>
      <c r="G38" s="113">
        <f>5347+62+21</f>
        <v>5430</v>
      </c>
      <c r="H38" s="113">
        <f t="shared" ref="H38" si="25">14+15</f>
        <v>29</v>
      </c>
      <c r="I38" s="113">
        <f t="shared" ref="I38" si="26">F38-(G38+H38)</f>
        <v>624.64000000000033</v>
      </c>
      <c r="J38" s="113">
        <f t="shared" ref="J38" si="27">I38</f>
        <v>624.64000000000033</v>
      </c>
      <c r="K38" s="120" t="s">
        <v>86</v>
      </c>
      <c r="L38" s="103">
        <f t="shared" ref="L38" si="28">IF(J38&lt;0,0,I38)</f>
        <v>624.64000000000033</v>
      </c>
      <c r="M38" s="105"/>
      <c r="N38" s="105"/>
      <c r="O38" s="107">
        <v>709.26199999999994</v>
      </c>
      <c r="P38" s="99">
        <f>O38*M2</f>
        <v>3397.3649799999998</v>
      </c>
      <c r="Q38" s="119"/>
      <c r="R38" s="101">
        <f>L38-O38</f>
        <v>-84.621999999999616</v>
      </c>
      <c r="S38" s="145">
        <f>R38*M2</f>
        <v>-405.33937999999819</v>
      </c>
    </row>
    <row r="39" spans="1:19" ht="15.75" hidden="1" customHeight="1" x14ac:dyDescent="0.25">
      <c r="A39" s="57">
        <v>45261</v>
      </c>
      <c r="B39" s="112"/>
      <c r="C39" s="112"/>
      <c r="D39" s="59" t="s">
        <v>27</v>
      </c>
      <c r="E39" s="112"/>
      <c r="F39" s="114"/>
      <c r="G39" s="114"/>
      <c r="H39" s="114"/>
      <c r="I39" s="114"/>
      <c r="J39" s="114"/>
      <c r="K39" s="121"/>
      <c r="L39" s="104"/>
      <c r="M39" s="106"/>
      <c r="N39" s="106"/>
      <c r="O39" s="108"/>
      <c r="P39" s="109"/>
      <c r="Q39" s="104"/>
      <c r="R39" s="102"/>
      <c r="S39" s="145"/>
    </row>
    <row r="40" spans="1:19" s="20" customFormat="1" ht="20.100000000000001" hidden="1" customHeight="1" x14ac:dyDescent="0.25">
      <c r="A40" s="76"/>
      <c r="B40" s="76"/>
      <c r="C40" s="76"/>
      <c r="E40" s="76"/>
      <c r="G40" s="78"/>
      <c r="H40" s="78"/>
      <c r="I40" s="76"/>
      <c r="J40" s="76"/>
      <c r="K40" s="77"/>
      <c r="L40" s="74">
        <f>SUM(L16:L39)</f>
        <v>5664.3200000000024</v>
      </c>
      <c r="M40" s="76"/>
      <c r="N40" s="76"/>
      <c r="O40" s="74">
        <f>SUM(O16:O39)</f>
        <v>8511.1439999999984</v>
      </c>
      <c r="P40" s="74">
        <f>SUM(P16:P39)</f>
        <v>40768.379759999989</v>
      </c>
      <c r="Q40" s="74"/>
      <c r="R40" s="74">
        <f>SUM(Q16:R39)</f>
        <v>-2846.8239999999951</v>
      </c>
      <c r="S40" s="74">
        <f>SUM(S16:S39)</f>
        <v>-13636.286959999981</v>
      </c>
    </row>
    <row r="41" spans="1:19" s="20" customFormat="1" ht="20.100000000000001" hidden="1" customHeight="1" x14ac:dyDescent="0.25">
      <c r="A41" s="76"/>
      <c r="B41" s="76"/>
      <c r="C41" s="76"/>
      <c r="E41" s="76"/>
      <c r="F41" s="79"/>
      <c r="G41" s="79"/>
      <c r="H41" s="79"/>
      <c r="I41" s="76"/>
      <c r="J41" s="76"/>
      <c r="K41" s="77"/>
      <c r="L41" s="74">
        <f>L40*M2</f>
        <v>27132.092800000013</v>
      </c>
      <c r="M41" s="76"/>
      <c r="N41" s="76"/>
      <c r="O41" s="76"/>
      <c r="P41" s="76"/>
      <c r="Q41" s="74"/>
      <c r="R41" s="74"/>
      <c r="S41" s="74"/>
    </row>
    <row r="42" spans="1:19" ht="15.75" hidden="1" customHeight="1" x14ac:dyDescent="0.25">
      <c r="A42" s="57">
        <v>45292</v>
      </c>
      <c r="B42" s="111">
        <v>2772.9</v>
      </c>
      <c r="C42" s="111">
        <v>897.8</v>
      </c>
      <c r="D42" s="59" t="s">
        <v>17</v>
      </c>
      <c r="E42" s="111" t="s">
        <v>23</v>
      </c>
      <c r="F42" s="113">
        <f>167+7028</f>
        <v>7195</v>
      </c>
      <c r="G42" s="113">
        <f>5946+69+24</f>
        <v>6039</v>
      </c>
      <c r="H42" s="113">
        <f>14+15</f>
        <v>29</v>
      </c>
      <c r="I42" s="113">
        <f>F42-(G42+H42)</f>
        <v>1127</v>
      </c>
      <c r="J42" s="113">
        <f>I42</f>
        <v>1127</v>
      </c>
      <c r="K42" s="115" t="s">
        <v>87</v>
      </c>
      <c r="L42" s="103">
        <f>IF(J42&lt;0,0,I42)</f>
        <v>1127</v>
      </c>
      <c r="M42" s="105"/>
      <c r="N42" s="105"/>
      <c r="O42" s="107">
        <v>709.26199999999994</v>
      </c>
      <c r="P42" s="99">
        <f>O42*O1</f>
        <v>3397.3649799999998</v>
      </c>
      <c r="Q42" s="119"/>
      <c r="R42" s="101">
        <f>L42-O42</f>
        <v>417.73800000000006</v>
      </c>
      <c r="S42" s="145">
        <f>R42*O1</f>
        <v>2000.9650200000003</v>
      </c>
    </row>
    <row r="43" spans="1:19" ht="15.75" hidden="1" customHeight="1" x14ac:dyDescent="0.25">
      <c r="A43" s="57">
        <v>45292</v>
      </c>
      <c r="B43" s="112"/>
      <c r="C43" s="112"/>
      <c r="D43" s="59" t="s">
        <v>27</v>
      </c>
      <c r="E43" s="112"/>
      <c r="F43" s="114"/>
      <c r="G43" s="114"/>
      <c r="H43" s="114"/>
      <c r="I43" s="114"/>
      <c r="J43" s="114"/>
      <c r="K43" s="116"/>
      <c r="L43" s="104"/>
      <c r="M43" s="106"/>
      <c r="N43" s="106"/>
      <c r="O43" s="108"/>
      <c r="P43" s="109"/>
      <c r="Q43" s="104"/>
      <c r="R43" s="102"/>
      <c r="S43" s="145"/>
    </row>
    <row r="44" spans="1:19" ht="15.75" hidden="1" customHeight="1" x14ac:dyDescent="0.25">
      <c r="A44" s="57">
        <v>45323</v>
      </c>
      <c r="B44" s="111">
        <v>2772.9</v>
      </c>
      <c r="C44" s="111">
        <v>897.8</v>
      </c>
      <c r="D44" s="59" t="s">
        <v>17</v>
      </c>
      <c r="E44" s="111" t="s">
        <v>23</v>
      </c>
      <c r="F44" s="113">
        <f>151+5413</f>
        <v>5564</v>
      </c>
      <c r="G44" s="113">
        <f>5424+64+22</f>
        <v>5510</v>
      </c>
      <c r="H44" s="113">
        <f>14+15</f>
        <v>29</v>
      </c>
      <c r="I44" s="113">
        <f t="shared" ref="I44" si="29">F44-(G44+H44)</f>
        <v>25</v>
      </c>
      <c r="J44" s="113">
        <f>I44</f>
        <v>25</v>
      </c>
      <c r="K44" s="115" t="s">
        <v>88</v>
      </c>
      <c r="L44" s="103">
        <f t="shared" ref="L44" si="30">IF(J44&lt;0,0,I44)</f>
        <v>25</v>
      </c>
      <c r="M44" s="105"/>
      <c r="N44" s="105"/>
      <c r="O44" s="107">
        <v>709.26199999999994</v>
      </c>
      <c r="P44" s="99">
        <f>O44*O1</f>
        <v>3397.3649799999998</v>
      </c>
      <c r="Q44" s="119">
        <f>L44-O44</f>
        <v>-684.26199999999994</v>
      </c>
      <c r="R44" s="101"/>
      <c r="S44" s="145">
        <f>Q44*O1</f>
        <v>-3277.6149799999998</v>
      </c>
    </row>
    <row r="45" spans="1:19" ht="15.75" hidden="1" customHeight="1" x14ac:dyDescent="0.25">
      <c r="A45" s="57">
        <v>45323</v>
      </c>
      <c r="B45" s="112"/>
      <c r="C45" s="112"/>
      <c r="D45" s="59" t="s">
        <v>27</v>
      </c>
      <c r="E45" s="112"/>
      <c r="F45" s="114"/>
      <c r="G45" s="114"/>
      <c r="H45" s="114"/>
      <c r="I45" s="114"/>
      <c r="J45" s="114"/>
      <c r="K45" s="116"/>
      <c r="L45" s="104"/>
      <c r="M45" s="106"/>
      <c r="N45" s="106"/>
      <c r="O45" s="108"/>
      <c r="P45" s="109"/>
      <c r="Q45" s="104"/>
      <c r="R45" s="102"/>
      <c r="S45" s="145"/>
    </row>
    <row r="46" spans="1:19" ht="15.75" hidden="1" customHeight="1" x14ac:dyDescent="0.25">
      <c r="A46" s="57">
        <v>45352</v>
      </c>
      <c r="B46" s="111">
        <v>2772.9</v>
      </c>
      <c r="C46" s="111">
        <v>897.8</v>
      </c>
      <c r="D46" s="59" t="s">
        <v>17</v>
      </c>
      <c r="E46" s="111" t="s">
        <v>23</v>
      </c>
      <c r="F46" s="113">
        <f>159+5103</f>
        <v>5262</v>
      </c>
      <c r="G46" s="113">
        <f>3690+61+22</f>
        <v>3773</v>
      </c>
      <c r="H46" s="113">
        <f>14+15</f>
        <v>29</v>
      </c>
      <c r="I46" s="113">
        <f>F46-(G46+H46)</f>
        <v>1460</v>
      </c>
      <c r="J46" s="113">
        <f>I46</f>
        <v>1460</v>
      </c>
      <c r="K46" s="115" t="s">
        <v>89</v>
      </c>
      <c r="L46" s="103">
        <f>IF(J46&lt;0,0,I46)</f>
        <v>1460</v>
      </c>
      <c r="M46" s="105"/>
      <c r="N46" s="105"/>
      <c r="O46" s="107">
        <v>709.26199999999994</v>
      </c>
      <c r="P46" s="99">
        <f>O46*O1</f>
        <v>3397.3649799999998</v>
      </c>
      <c r="Q46" s="119"/>
      <c r="R46" s="101">
        <f>L46-O46</f>
        <v>750.73800000000006</v>
      </c>
      <c r="S46" s="146">
        <f>R46*O1</f>
        <v>3596.0350200000003</v>
      </c>
    </row>
    <row r="47" spans="1:19" ht="15.75" hidden="1" customHeight="1" x14ac:dyDescent="0.25">
      <c r="A47" s="57">
        <v>45352</v>
      </c>
      <c r="B47" s="112"/>
      <c r="C47" s="112"/>
      <c r="D47" s="59" t="s">
        <v>27</v>
      </c>
      <c r="E47" s="112"/>
      <c r="F47" s="114"/>
      <c r="G47" s="114"/>
      <c r="H47" s="114"/>
      <c r="I47" s="114"/>
      <c r="J47" s="114"/>
      <c r="K47" s="116"/>
      <c r="L47" s="104"/>
      <c r="M47" s="106"/>
      <c r="N47" s="106"/>
      <c r="O47" s="108"/>
      <c r="P47" s="109"/>
      <c r="Q47" s="104"/>
      <c r="R47" s="102"/>
      <c r="S47" s="148"/>
    </row>
    <row r="48" spans="1:19" ht="15.75" hidden="1" customHeight="1" x14ac:dyDescent="0.25">
      <c r="A48" s="57">
        <v>45383</v>
      </c>
      <c r="B48" s="111">
        <v>2772.9</v>
      </c>
      <c r="C48" s="111">
        <v>897.8</v>
      </c>
      <c r="D48" s="59" t="s">
        <v>17</v>
      </c>
      <c r="E48" s="111" t="s">
        <v>23</v>
      </c>
      <c r="F48" s="113">
        <f>168+5639</f>
        <v>5807</v>
      </c>
      <c r="G48" s="113">
        <f>5094+65+25</f>
        <v>5184</v>
      </c>
      <c r="H48" s="113">
        <f>14+15</f>
        <v>29</v>
      </c>
      <c r="I48" s="113">
        <f>F48-(G48+H48)</f>
        <v>594</v>
      </c>
      <c r="J48" s="113">
        <f>I48</f>
        <v>594</v>
      </c>
      <c r="K48" s="115" t="s">
        <v>90</v>
      </c>
      <c r="L48" s="103">
        <f>IF(J48&lt;0,0,I48)</f>
        <v>594</v>
      </c>
      <c r="M48" s="105"/>
      <c r="N48" s="105"/>
      <c r="O48" s="107">
        <v>709.26199999999994</v>
      </c>
      <c r="P48" s="99">
        <f>O48*O1</f>
        <v>3397.3649799999998</v>
      </c>
      <c r="Q48" s="119">
        <f>L48-O48</f>
        <v>-115.26199999999994</v>
      </c>
      <c r="R48" s="101"/>
      <c r="S48" s="145">
        <f>Q48*O1</f>
        <v>-552.10497999999973</v>
      </c>
    </row>
    <row r="49" spans="1:19" ht="15.75" hidden="1" customHeight="1" x14ac:dyDescent="0.25">
      <c r="A49" s="57">
        <v>45383</v>
      </c>
      <c r="B49" s="112"/>
      <c r="C49" s="112"/>
      <c r="D49" s="59" t="s">
        <v>27</v>
      </c>
      <c r="E49" s="112"/>
      <c r="F49" s="114"/>
      <c r="G49" s="114"/>
      <c r="H49" s="114"/>
      <c r="I49" s="114"/>
      <c r="J49" s="114"/>
      <c r="K49" s="116"/>
      <c r="L49" s="104"/>
      <c r="M49" s="106"/>
      <c r="N49" s="106"/>
      <c r="O49" s="108"/>
      <c r="P49" s="109"/>
      <c r="Q49" s="104"/>
      <c r="R49" s="102"/>
      <c r="S49" s="145"/>
    </row>
    <row r="50" spans="1:19" ht="15.75" hidden="1" customHeight="1" x14ac:dyDescent="0.25">
      <c r="A50" s="57">
        <v>45413</v>
      </c>
      <c r="B50" s="111">
        <v>2772.9</v>
      </c>
      <c r="C50" s="111">
        <v>897.8</v>
      </c>
      <c r="D50" s="59" t="s">
        <v>17</v>
      </c>
      <c r="E50" s="111" t="s">
        <v>23</v>
      </c>
      <c r="F50" s="113">
        <f>151+4763</f>
        <v>4914</v>
      </c>
      <c r="G50" s="113">
        <f>5105+63+27</f>
        <v>5195</v>
      </c>
      <c r="H50" s="113">
        <f>14+15</f>
        <v>29</v>
      </c>
      <c r="I50" s="113">
        <f>F50-(G50+H50)</f>
        <v>-310</v>
      </c>
      <c r="J50" s="113">
        <f>I50</f>
        <v>-310</v>
      </c>
      <c r="K50" s="115" t="s">
        <v>91</v>
      </c>
      <c r="L50" s="103">
        <f>IF(J50&lt;0,0,I50)</f>
        <v>0</v>
      </c>
      <c r="M50" s="105"/>
      <c r="N50" s="105"/>
      <c r="O50" s="107">
        <v>709.26199999999994</v>
      </c>
      <c r="P50" s="99">
        <f>O50*O1</f>
        <v>3397.3649799999998</v>
      </c>
      <c r="Q50" s="119">
        <f>L50-O50</f>
        <v>-709.26199999999994</v>
      </c>
      <c r="R50" s="101"/>
      <c r="S50" s="145">
        <f>Q50*O1</f>
        <v>-3397.3649799999998</v>
      </c>
    </row>
    <row r="51" spans="1:19" ht="15.75" hidden="1" customHeight="1" x14ac:dyDescent="0.25">
      <c r="A51" s="57">
        <v>45413</v>
      </c>
      <c r="B51" s="112"/>
      <c r="C51" s="112"/>
      <c r="D51" s="59" t="s">
        <v>27</v>
      </c>
      <c r="E51" s="112"/>
      <c r="F51" s="114"/>
      <c r="G51" s="114"/>
      <c r="H51" s="114"/>
      <c r="I51" s="114"/>
      <c r="J51" s="114"/>
      <c r="K51" s="116"/>
      <c r="L51" s="104"/>
      <c r="M51" s="106"/>
      <c r="N51" s="106"/>
      <c r="O51" s="108"/>
      <c r="P51" s="109"/>
      <c r="Q51" s="104"/>
      <c r="R51" s="102"/>
      <c r="S51" s="145"/>
    </row>
    <row r="52" spans="1:19" ht="15.75" hidden="1" customHeight="1" x14ac:dyDescent="0.25">
      <c r="A52" s="57">
        <v>45444</v>
      </c>
      <c r="B52" s="111">
        <v>2772.9</v>
      </c>
      <c r="C52" s="111">
        <v>897.8</v>
      </c>
      <c r="D52" s="59" t="s">
        <v>17</v>
      </c>
      <c r="E52" s="111" t="s">
        <v>23</v>
      </c>
      <c r="F52" s="113">
        <f>172+6097</f>
        <v>6269</v>
      </c>
      <c r="G52" s="113">
        <f>6502+86+35</f>
        <v>6623</v>
      </c>
      <c r="H52" s="113">
        <f>14+15</f>
        <v>29</v>
      </c>
      <c r="I52" s="113">
        <f>F52-(G52+H52)</f>
        <v>-383</v>
      </c>
      <c r="J52" s="113">
        <f>I52</f>
        <v>-383</v>
      </c>
      <c r="K52" s="115" t="s">
        <v>92</v>
      </c>
      <c r="L52" s="103">
        <f>IF(J52&lt;0,0,I52)</f>
        <v>0</v>
      </c>
      <c r="M52" s="105"/>
      <c r="N52" s="105"/>
      <c r="O52" s="107">
        <v>709.26199999999994</v>
      </c>
      <c r="P52" s="99">
        <f>O52*O1</f>
        <v>3397.3649799999998</v>
      </c>
      <c r="Q52" s="119">
        <f>L52-O52</f>
        <v>-709.26199999999994</v>
      </c>
      <c r="R52" s="101"/>
      <c r="S52" s="145">
        <f>Q52*O1</f>
        <v>-3397.3649799999998</v>
      </c>
    </row>
    <row r="53" spans="1:19" ht="15.75" hidden="1" customHeight="1" x14ac:dyDescent="0.25">
      <c r="A53" s="57">
        <v>45444</v>
      </c>
      <c r="B53" s="112"/>
      <c r="C53" s="112"/>
      <c r="D53" s="59" t="s">
        <v>27</v>
      </c>
      <c r="E53" s="112"/>
      <c r="F53" s="114"/>
      <c r="G53" s="114"/>
      <c r="H53" s="114"/>
      <c r="I53" s="114"/>
      <c r="J53" s="114"/>
      <c r="K53" s="116"/>
      <c r="L53" s="104"/>
      <c r="M53" s="106"/>
      <c r="N53" s="106"/>
      <c r="O53" s="108"/>
      <c r="P53" s="109"/>
      <c r="Q53" s="104"/>
      <c r="R53" s="102"/>
      <c r="S53" s="145"/>
    </row>
    <row r="54" spans="1:19" ht="15.75" hidden="1" customHeight="1" x14ac:dyDescent="0.25">
      <c r="A54" s="57">
        <v>45474</v>
      </c>
      <c r="B54" s="111">
        <v>2772.9</v>
      </c>
      <c r="C54" s="111">
        <v>897.8</v>
      </c>
      <c r="D54" s="59" t="s">
        <v>17</v>
      </c>
      <c r="E54" s="111" t="s">
        <v>23</v>
      </c>
      <c r="F54" s="113">
        <f>160+5938</f>
        <v>6098</v>
      </c>
      <c r="G54" s="113">
        <f>4369+41+18</f>
        <v>4428</v>
      </c>
      <c r="H54" s="113">
        <f>14+15</f>
        <v>29</v>
      </c>
      <c r="I54" s="113">
        <f>F54-(G54+H54)</f>
        <v>1641</v>
      </c>
      <c r="J54" s="113">
        <f t="shared" ref="J54" si="31">I54</f>
        <v>1641</v>
      </c>
      <c r="K54" s="115" t="s">
        <v>93</v>
      </c>
      <c r="L54" s="103">
        <f t="shared" ref="L54" si="32">IF(J54&lt;0,0,I54)</f>
        <v>1641</v>
      </c>
      <c r="M54" s="105"/>
      <c r="N54" s="105"/>
      <c r="O54" s="107">
        <v>709.26199999999994</v>
      </c>
      <c r="P54" s="99">
        <f>O54*O2</f>
        <v>3695.2550199999996</v>
      </c>
      <c r="Q54" s="119"/>
      <c r="R54" s="101">
        <f>L54-O54</f>
        <v>931.73800000000006</v>
      </c>
      <c r="S54" s="145">
        <f>R54*O2</f>
        <v>4854.3549800000001</v>
      </c>
    </row>
    <row r="55" spans="1:19" ht="15.75" hidden="1" customHeight="1" x14ac:dyDescent="0.25">
      <c r="A55" s="57">
        <v>45474</v>
      </c>
      <c r="B55" s="112"/>
      <c r="C55" s="112"/>
      <c r="D55" s="59" t="s">
        <v>27</v>
      </c>
      <c r="E55" s="112"/>
      <c r="F55" s="114"/>
      <c r="G55" s="114"/>
      <c r="H55" s="114"/>
      <c r="I55" s="114"/>
      <c r="J55" s="114"/>
      <c r="K55" s="116"/>
      <c r="L55" s="104"/>
      <c r="M55" s="106"/>
      <c r="N55" s="106"/>
      <c r="O55" s="108"/>
      <c r="P55" s="109"/>
      <c r="Q55" s="104"/>
      <c r="R55" s="102"/>
      <c r="S55" s="145"/>
    </row>
    <row r="56" spans="1:19" ht="15.75" hidden="1" customHeight="1" x14ac:dyDescent="0.25">
      <c r="A56" s="57">
        <v>45505</v>
      </c>
      <c r="B56" s="111">
        <v>2772.9</v>
      </c>
      <c r="C56" s="111">
        <v>897.8</v>
      </c>
      <c r="D56" s="59" t="s">
        <v>17</v>
      </c>
      <c r="E56" s="111" t="s">
        <v>23</v>
      </c>
      <c r="F56" s="113">
        <f>169+5400</f>
        <v>5569</v>
      </c>
      <c r="G56" s="113">
        <f>5009+61+25</f>
        <v>5095</v>
      </c>
      <c r="H56" s="113">
        <f>14+15</f>
        <v>29</v>
      </c>
      <c r="I56" s="113">
        <f>F56-(G56+H56)</f>
        <v>445</v>
      </c>
      <c r="J56" s="113">
        <f>I56</f>
        <v>445</v>
      </c>
      <c r="K56" s="115" t="s">
        <v>94</v>
      </c>
      <c r="L56" s="103">
        <f t="shared" ref="L56" si="33">IF(J56&lt;0,0,I56)</f>
        <v>445</v>
      </c>
      <c r="M56" s="105"/>
      <c r="N56" s="105"/>
      <c r="O56" s="107">
        <v>709.26199999999994</v>
      </c>
      <c r="P56" s="99">
        <f>O56*O2</f>
        <v>3695.2550199999996</v>
      </c>
      <c r="Q56" s="119">
        <f>L56-O56</f>
        <v>-264.26199999999994</v>
      </c>
      <c r="R56" s="101">
        <f>R53+R54</f>
        <v>931.73800000000006</v>
      </c>
      <c r="S56" s="145">
        <f>S53+S54</f>
        <v>4854.3549800000001</v>
      </c>
    </row>
    <row r="57" spans="1:19" ht="15.75" hidden="1" customHeight="1" x14ac:dyDescent="0.25">
      <c r="A57" s="57">
        <v>45505</v>
      </c>
      <c r="B57" s="112"/>
      <c r="C57" s="112"/>
      <c r="D57" s="59" t="s">
        <v>27</v>
      </c>
      <c r="E57" s="112"/>
      <c r="F57" s="114"/>
      <c r="G57" s="114"/>
      <c r="H57" s="114"/>
      <c r="I57" s="114"/>
      <c r="J57" s="114"/>
      <c r="K57" s="116"/>
      <c r="L57" s="104"/>
      <c r="M57" s="106"/>
      <c r="N57" s="106"/>
      <c r="O57" s="108"/>
      <c r="P57" s="109"/>
      <c r="Q57" s="104"/>
      <c r="R57" s="102"/>
      <c r="S57" s="145"/>
    </row>
    <row r="58" spans="1:19" ht="15.75" hidden="1" customHeight="1" x14ac:dyDescent="0.25">
      <c r="A58" s="57">
        <v>45536</v>
      </c>
      <c r="B58" s="111">
        <v>2772.9</v>
      </c>
      <c r="C58" s="111">
        <v>897.8</v>
      </c>
      <c r="D58" s="59" t="s">
        <v>17</v>
      </c>
      <c r="E58" s="111" t="s">
        <v>23</v>
      </c>
      <c r="F58" s="113">
        <f>151+4721</f>
        <v>4872</v>
      </c>
      <c r="G58" s="113">
        <f>5118+70+29</f>
        <v>5217</v>
      </c>
      <c r="H58" s="113">
        <f>14+15</f>
        <v>29</v>
      </c>
      <c r="I58" s="113">
        <f t="shared" ref="I58" si="34">F58-(G58+H58)</f>
        <v>-374</v>
      </c>
      <c r="J58" s="113">
        <f>I58</f>
        <v>-374</v>
      </c>
      <c r="K58" s="115" t="s">
        <v>95</v>
      </c>
      <c r="L58" s="103">
        <f t="shared" ref="L58" si="35">IF(J58&lt;0,0,I58)</f>
        <v>0</v>
      </c>
      <c r="M58" s="105"/>
      <c r="N58" s="105"/>
      <c r="O58" s="107">
        <v>709.26199999999994</v>
      </c>
      <c r="P58" s="99">
        <f>O58*O2</f>
        <v>3695.2550199999996</v>
      </c>
      <c r="Q58" s="119">
        <f>L58-O58</f>
        <v>-709.26199999999994</v>
      </c>
      <c r="R58" s="101"/>
      <c r="S58" s="145">
        <v>0</v>
      </c>
    </row>
    <row r="59" spans="1:19" ht="15.75" hidden="1" customHeight="1" x14ac:dyDescent="0.25">
      <c r="A59" s="57">
        <v>45536</v>
      </c>
      <c r="B59" s="112"/>
      <c r="C59" s="112"/>
      <c r="D59" s="59" t="s">
        <v>27</v>
      </c>
      <c r="E59" s="112"/>
      <c r="F59" s="114"/>
      <c r="G59" s="114"/>
      <c r="H59" s="114"/>
      <c r="I59" s="114"/>
      <c r="J59" s="114"/>
      <c r="K59" s="116"/>
      <c r="L59" s="104"/>
      <c r="M59" s="106"/>
      <c r="N59" s="106"/>
      <c r="O59" s="108"/>
      <c r="P59" s="109"/>
      <c r="Q59" s="104"/>
      <c r="R59" s="102"/>
      <c r="S59" s="145"/>
    </row>
    <row r="60" spans="1:19" ht="15.75" hidden="1" customHeight="1" x14ac:dyDescent="0.25">
      <c r="A60" s="57">
        <v>45566</v>
      </c>
      <c r="B60" s="111">
        <v>2772.9</v>
      </c>
      <c r="C60" s="111">
        <v>897.8</v>
      </c>
      <c r="D60" s="59" t="s">
        <v>17</v>
      </c>
      <c r="E60" s="111" t="s">
        <v>23</v>
      </c>
      <c r="F60" s="113">
        <f>178+5978</f>
        <v>6156</v>
      </c>
      <c r="G60" s="113">
        <f>4231+57+20</f>
        <v>4308</v>
      </c>
      <c r="H60" s="113">
        <f>14+15</f>
        <v>29</v>
      </c>
      <c r="I60" s="113">
        <f t="shared" ref="I60" si="36">F60-(G60+H60)</f>
        <v>1819</v>
      </c>
      <c r="J60" s="113">
        <f>I60</f>
        <v>1819</v>
      </c>
      <c r="K60" s="115" t="s">
        <v>96</v>
      </c>
      <c r="L60" s="103">
        <f t="shared" ref="L60" si="37">IF(J60&lt;0,0,I60)</f>
        <v>1819</v>
      </c>
      <c r="M60" s="105"/>
      <c r="N60" s="105"/>
      <c r="O60" s="107">
        <v>709.26199999999994</v>
      </c>
      <c r="P60" s="99">
        <f>O60*O2</f>
        <v>3695.2550199999996</v>
      </c>
      <c r="Q60" s="119"/>
      <c r="R60" s="101">
        <f>L60-O60</f>
        <v>1109.7380000000001</v>
      </c>
      <c r="S60" s="145">
        <f>R60*O2</f>
        <v>5781.7349800000002</v>
      </c>
    </row>
    <row r="61" spans="1:19" ht="15.75" hidden="1" customHeight="1" x14ac:dyDescent="0.25">
      <c r="A61" s="57">
        <v>45566</v>
      </c>
      <c r="B61" s="112"/>
      <c r="C61" s="112"/>
      <c r="D61" s="59" t="s">
        <v>27</v>
      </c>
      <c r="E61" s="112"/>
      <c r="F61" s="114"/>
      <c r="G61" s="114"/>
      <c r="H61" s="114"/>
      <c r="I61" s="114"/>
      <c r="J61" s="114"/>
      <c r="K61" s="116"/>
      <c r="L61" s="104"/>
      <c r="M61" s="106"/>
      <c r="N61" s="106"/>
      <c r="O61" s="108"/>
      <c r="P61" s="109"/>
      <c r="Q61" s="104"/>
      <c r="R61" s="102"/>
      <c r="S61" s="145"/>
    </row>
    <row r="62" spans="1:19" ht="15.75" hidden="1" customHeight="1" x14ac:dyDescent="0.25">
      <c r="A62" s="57">
        <v>45597</v>
      </c>
      <c r="B62" s="111">
        <v>2772.9</v>
      </c>
      <c r="C62" s="111">
        <v>897.8</v>
      </c>
      <c r="D62" s="59" t="s">
        <v>17</v>
      </c>
      <c r="E62" s="111" t="s">
        <v>23</v>
      </c>
      <c r="F62" s="113">
        <f>160+5637</f>
        <v>5797</v>
      </c>
      <c r="G62" s="113">
        <f>5556+65+28</f>
        <v>5649</v>
      </c>
      <c r="H62" s="113">
        <f>14+15</f>
        <v>29</v>
      </c>
      <c r="I62" s="113">
        <f t="shared" ref="I62" si="38">F62-(G62+H62)</f>
        <v>119</v>
      </c>
      <c r="J62" s="113">
        <f>I62</f>
        <v>119</v>
      </c>
      <c r="K62" s="115" t="s">
        <v>97</v>
      </c>
      <c r="L62" s="103">
        <f t="shared" ref="L62" si="39">IF(J62&lt;0,0,I62)</f>
        <v>119</v>
      </c>
      <c r="M62" s="105"/>
      <c r="N62" s="105"/>
      <c r="O62" s="107">
        <v>709.26199999999994</v>
      </c>
      <c r="P62" s="99">
        <f>O62*O2</f>
        <v>3695.2550199999996</v>
      </c>
      <c r="Q62" s="119">
        <f>L62-O62</f>
        <v>-590.26199999999994</v>
      </c>
      <c r="R62" s="101"/>
      <c r="S62" s="145">
        <f>Q62*O2</f>
        <v>-3075.2650199999998</v>
      </c>
    </row>
    <row r="63" spans="1:19" ht="15.75" hidden="1" customHeight="1" x14ac:dyDescent="0.25">
      <c r="A63" s="57">
        <v>45597</v>
      </c>
      <c r="B63" s="112"/>
      <c r="C63" s="112"/>
      <c r="D63" s="59" t="s">
        <v>27</v>
      </c>
      <c r="E63" s="112"/>
      <c r="F63" s="114"/>
      <c r="G63" s="114"/>
      <c r="H63" s="114"/>
      <c r="I63" s="114"/>
      <c r="J63" s="114"/>
      <c r="K63" s="116"/>
      <c r="L63" s="104"/>
      <c r="M63" s="106"/>
      <c r="N63" s="106"/>
      <c r="O63" s="108"/>
      <c r="P63" s="109"/>
      <c r="Q63" s="104"/>
      <c r="R63" s="102"/>
      <c r="S63" s="145"/>
    </row>
    <row r="64" spans="1:19" ht="15.75" hidden="1" customHeight="1" x14ac:dyDescent="0.25">
      <c r="A64" s="57">
        <v>45627</v>
      </c>
      <c r="B64" s="111">
        <v>2772.9</v>
      </c>
      <c r="C64" s="111">
        <v>897.8</v>
      </c>
      <c r="D64" s="59" t="s">
        <v>17</v>
      </c>
      <c r="E64" s="111" t="s">
        <v>23</v>
      </c>
      <c r="F64" s="113">
        <f>163+6349</f>
        <v>6512</v>
      </c>
      <c r="G64" s="113">
        <f>5417+74+24</f>
        <v>5515</v>
      </c>
      <c r="H64" s="113">
        <f>14+15</f>
        <v>29</v>
      </c>
      <c r="I64" s="113">
        <f t="shared" ref="I64" si="40">F64-(G64+H64)</f>
        <v>968</v>
      </c>
      <c r="J64" s="113">
        <f t="shared" ref="J64" si="41">I64</f>
        <v>968</v>
      </c>
      <c r="K64" s="115" t="s">
        <v>98</v>
      </c>
      <c r="L64" s="103">
        <f t="shared" ref="L64" si="42">IF(J64&lt;0,0,I64)</f>
        <v>968</v>
      </c>
      <c r="M64" s="105"/>
      <c r="N64" s="105"/>
      <c r="O64" s="107">
        <v>709.26199999999994</v>
      </c>
      <c r="P64" s="99">
        <f>O64*O2</f>
        <v>3695.2550199999996</v>
      </c>
      <c r="Q64" s="119"/>
      <c r="R64" s="101">
        <f>L64-O64</f>
        <v>258.73800000000006</v>
      </c>
      <c r="S64" s="145">
        <f>Q64*O2</f>
        <v>0</v>
      </c>
    </row>
    <row r="65" spans="1:19" ht="15.75" hidden="1" customHeight="1" x14ac:dyDescent="0.25">
      <c r="A65" s="57">
        <v>45627</v>
      </c>
      <c r="B65" s="112"/>
      <c r="C65" s="112"/>
      <c r="D65" s="59" t="s">
        <v>27</v>
      </c>
      <c r="E65" s="112"/>
      <c r="F65" s="114"/>
      <c r="G65" s="114"/>
      <c r="H65" s="114"/>
      <c r="I65" s="114"/>
      <c r="J65" s="114"/>
      <c r="K65" s="116"/>
      <c r="L65" s="104"/>
      <c r="M65" s="106"/>
      <c r="N65" s="106"/>
      <c r="O65" s="108"/>
      <c r="P65" s="109"/>
      <c r="Q65" s="104"/>
      <c r="R65" s="102"/>
      <c r="S65" s="145"/>
    </row>
    <row r="66" spans="1:19" s="20" customFormat="1" ht="20.100000000000001" hidden="1" customHeight="1" x14ac:dyDescent="0.25">
      <c r="A66" s="76"/>
      <c r="B66" s="76"/>
      <c r="C66" s="76"/>
      <c r="E66" s="76"/>
      <c r="G66" s="78"/>
      <c r="H66" s="78"/>
      <c r="I66" s="76"/>
      <c r="J66" s="76"/>
      <c r="K66" s="77"/>
      <c r="L66" s="74">
        <f>SUM(L42:L65)</f>
        <v>8198</v>
      </c>
      <c r="M66" s="76"/>
      <c r="N66" s="76"/>
      <c r="O66" s="74">
        <f>SUM(O42:O65)</f>
        <v>8511.1439999999984</v>
      </c>
      <c r="P66" s="74">
        <f>SUM(P42:P65)</f>
        <v>42555.719999999994</v>
      </c>
      <c r="Q66" s="74"/>
      <c r="R66" s="74">
        <f>SUM(Q42:R53)</f>
        <v>-1049.5719999999997</v>
      </c>
      <c r="S66" s="74">
        <f>SUM(S42:S65)</f>
        <v>7387.7300400000013</v>
      </c>
    </row>
    <row r="67" spans="1:19" s="20" customFormat="1" ht="20.100000000000001" hidden="1" customHeight="1" x14ac:dyDescent="0.25">
      <c r="A67" s="76"/>
      <c r="B67" s="76"/>
      <c r="C67" s="76"/>
      <c r="E67" s="76"/>
      <c r="F67" s="79"/>
      <c r="G67" s="79"/>
      <c r="H67" s="79"/>
      <c r="I67" s="76"/>
      <c r="J67" s="76"/>
      <c r="K67" s="77"/>
      <c r="L67" s="74">
        <f>L66*P35</f>
        <v>0</v>
      </c>
      <c r="M67" s="76"/>
      <c r="N67" s="76"/>
      <c r="O67" s="76"/>
      <c r="P67" s="76"/>
      <c r="Q67" s="74"/>
      <c r="R67" s="74">
        <f>SUM(Q54:R65)</f>
        <v>1668.1660000000004</v>
      </c>
      <c r="S67" s="74"/>
    </row>
    <row r="68" spans="1:19" hidden="1" x14ac:dyDescent="0.25"/>
    <row r="69" spans="1:19" ht="15.75" customHeight="1" x14ac:dyDescent="0.25">
      <c r="A69" s="57">
        <v>45658</v>
      </c>
      <c r="B69" s="111">
        <v>2772.9</v>
      </c>
      <c r="C69" s="111">
        <v>897.8</v>
      </c>
      <c r="D69" s="59" t="s">
        <v>17</v>
      </c>
      <c r="E69" s="111" t="s">
        <v>23</v>
      </c>
      <c r="F69" s="113">
        <v>6347</v>
      </c>
      <c r="G69" s="113">
        <f>6168+76+26</f>
        <v>6270</v>
      </c>
      <c r="H69" s="113">
        <f>14+15</f>
        <v>29</v>
      </c>
      <c r="I69" s="113">
        <f>F69-(G69+H69)</f>
        <v>48</v>
      </c>
      <c r="J69" s="113">
        <f>I69</f>
        <v>48</v>
      </c>
      <c r="K69" s="115" t="s">
        <v>103</v>
      </c>
      <c r="L69" s="103">
        <f>IF(J69&lt;0,0,I69)</f>
        <v>48</v>
      </c>
      <c r="M69" s="105"/>
      <c r="N69" s="105"/>
      <c r="O69" s="107">
        <v>709.26199999999994</v>
      </c>
      <c r="P69" s="99">
        <f>O69*R1</f>
        <v>3695.2550199999996</v>
      </c>
      <c r="Q69" s="101">
        <f>L69-O69</f>
        <v>-661.26199999999994</v>
      </c>
      <c r="R69" s="101"/>
      <c r="S69" s="145">
        <f>Q69*R1</f>
        <v>-3445.1750199999997</v>
      </c>
    </row>
    <row r="70" spans="1:19" ht="15.75" customHeight="1" x14ac:dyDescent="0.25">
      <c r="A70" s="57">
        <v>45658</v>
      </c>
      <c r="B70" s="112"/>
      <c r="C70" s="112"/>
      <c r="D70" s="59" t="s">
        <v>27</v>
      </c>
      <c r="E70" s="112"/>
      <c r="F70" s="114"/>
      <c r="G70" s="114"/>
      <c r="H70" s="114"/>
      <c r="I70" s="114"/>
      <c r="J70" s="114"/>
      <c r="K70" s="116"/>
      <c r="L70" s="104"/>
      <c r="M70" s="106"/>
      <c r="N70" s="106"/>
      <c r="O70" s="108"/>
      <c r="P70" s="109"/>
      <c r="Q70" s="102"/>
      <c r="R70" s="102"/>
      <c r="S70" s="145"/>
    </row>
    <row r="71" spans="1:19" ht="15.75" customHeight="1" x14ac:dyDescent="0.25">
      <c r="A71" s="57">
        <v>45689</v>
      </c>
      <c r="B71" s="111">
        <v>2772.9</v>
      </c>
      <c r="C71" s="111">
        <v>897.8</v>
      </c>
      <c r="D71" s="59" t="s">
        <v>17</v>
      </c>
      <c r="E71" s="111" t="s">
        <v>23</v>
      </c>
      <c r="F71" s="113">
        <f>7057+188</f>
        <v>7245</v>
      </c>
      <c r="G71" s="113">
        <f>5613+66+25</f>
        <v>5704</v>
      </c>
      <c r="H71" s="113">
        <f>14+15</f>
        <v>29</v>
      </c>
      <c r="I71" s="113">
        <f t="shared" ref="I71" si="43">F71-(G71+H71)</f>
        <v>1512</v>
      </c>
      <c r="J71" s="113">
        <f>I71</f>
        <v>1512</v>
      </c>
      <c r="K71" s="115" t="s">
        <v>104</v>
      </c>
      <c r="L71" s="103">
        <f t="shared" ref="L71" si="44">IF(J71&lt;0,0,I71)</f>
        <v>1512</v>
      </c>
      <c r="M71" s="105"/>
      <c r="N71" s="105"/>
      <c r="O71" s="107">
        <v>709.26199999999994</v>
      </c>
      <c r="P71" s="99">
        <f>O71*R1</f>
        <v>3695.2550199999996</v>
      </c>
      <c r="Q71" s="119"/>
      <c r="R71" s="119">
        <f>L71-O71</f>
        <v>802.73800000000006</v>
      </c>
      <c r="S71" s="145">
        <f>R71*R1</f>
        <v>4182.2649799999999</v>
      </c>
    </row>
    <row r="72" spans="1:19" ht="15.75" customHeight="1" x14ac:dyDescent="0.25">
      <c r="A72" s="57">
        <v>45689</v>
      </c>
      <c r="B72" s="112"/>
      <c r="C72" s="112"/>
      <c r="D72" s="59" t="s">
        <v>27</v>
      </c>
      <c r="E72" s="112"/>
      <c r="F72" s="114"/>
      <c r="G72" s="114"/>
      <c r="H72" s="114"/>
      <c r="I72" s="114"/>
      <c r="J72" s="114"/>
      <c r="K72" s="116"/>
      <c r="L72" s="104"/>
      <c r="M72" s="106"/>
      <c r="N72" s="106"/>
      <c r="O72" s="108"/>
      <c r="P72" s="109"/>
      <c r="Q72" s="104"/>
      <c r="R72" s="104"/>
      <c r="S72" s="145"/>
    </row>
    <row r="73" spans="1:19" ht="15.75" customHeight="1" x14ac:dyDescent="0.25">
      <c r="A73" s="57">
        <v>45717</v>
      </c>
      <c r="B73" s="111">
        <v>2772.9</v>
      </c>
      <c r="C73" s="111">
        <v>897.8</v>
      </c>
      <c r="D73" s="59" t="s">
        <v>17</v>
      </c>
      <c r="E73" s="111" t="s">
        <v>23</v>
      </c>
      <c r="F73" s="113">
        <f>5333+284</f>
        <v>5617</v>
      </c>
      <c r="G73" s="113">
        <f>5830+63+23</f>
        <v>5916</v>
      </c>
      <c r="H73" s="113">
        <f>14+15</f>
        <v>29</v>
      </c>
      <c r="I73" s="113">
        <f>F73-(G73+H73)</f>
        <v>-328</v>
      </c>
      <c r="J73" s="113">
        <f>I73</f>
        <v>-328</v>
      </c>
      <c r="K73" s="115" t="s">
        <v>105</v>
      </c>
      <c r="L73" s="103">
        <f>IF(J73&lt;0,0,I73)</f>
        <v>0</v>
      </c>
      <c r="M73" s="105"/>
      <c r="N73" s="105"/>
      <c r="O73" s="107">
        <v>709.26199999999994</v>
      </c>
      <c r="P73" s="99">
        <f>O73*R1</f>
        <v>3695.2550199999996</v>
      </c>
      <c r="Q73" s="119">
        <f>-O73</f>
        <v>-709.26199999999994</v>
      </c>
      <c r="R73" s="101"/>
      <c r="S73" s="145">
        <f>Q73*R1</f>
        <v>-3695.2550199999996</v>
      </c>
    </row>
    <row r="74" spans="1:19" ht="15.75" customHeight="1" x14ac:dyDescent="0.25">
      <c r="A74" s="57">
        <v>45717</v>
      </c>
      <c r="B74" s="112"/>
      <c r="C74" s="112"/>
      <c r="D74" s="59" t="s">
        <v>27</v>
      </c>
      <c r="E74" s="112"/>
      <c r="F74" s="114"/>
      <c r="G74" s="114"/>
      <c r="H74" s="114"/>
      <c r="I74" s="114"/>
      <c r="J74" s="114"/>
      <c r="K74" s="116"/>
      <c r="L74" s="104"/>
      <c r="M74" s="106"/>
      <c r="N74" s="106"/>
      <c r="O74" s="108"/>
      <c r="P74" s="109"/>
      <c r="Q74" s="104"/>
      <c r="R74" s="102"/>
      <c r="S74" s="145"/>
    </row>
    <row r="75" spans="1:19" ht="15.75" customHeight="1" x14ac:dyDescent="0.25">
      <c r="A75" s="57">
        <v>45748</v>
      </c>
      <c r="B75" s="111">
        <v>2772.9</v>
      </c>
      <c r="C75" s="111">
        <v>897.8</v>
      </c>
      <c r="D75" s="59" t="s">
        <v>17</v>
      </c>
      <c r="E75" s="111" t="s">
        <v>23</v>
      </c>
      <c r="F75" s="113">
        <f>5604+304</f>
        <v>5908</v>
      </c>
      <c r="G75" s="113">
        <f>4990+61+25</f>
        <v>5076</v>
      </c>
      <c r="H75" s="113">
        <f>14+15</f>
        <v>29</v>
      </c>
      <c r="I75" s="113">
        <f>F75-(G75+H75)</f>
        <v>803</v>
      </c>
      <c r="J75" s="113">
        <f>I75+J73</f>
        <v>475</v>
      </c>
      <c r="K75" s="115" t="s">
        <v>106</v>
      </c>
      <c r="L75" s="103">
        <f>J75</f>
        <v>475</v>
      </c>
      <c r="M75" s="105"/>
      <c r="N75" s="105"/>
      <c r="O75" s="107">
        <v>709.26199999999994</v>
      </c>
      <c r="P75" s="99">
        <f>O75*R1</f>
        <v>3695.2550199999996</v>
      </c>
      <c r="Q75" s="119">
        <f>L75-O75</f>
        <v>-234.26199999999994</v>
      </c>
      <c r="R75" s="101"/>
      <c r="S75" s="145">
        <f>Q75*R1</f>
        <v>-1220.5050199999996</v>
      </c>
    </row>
    <row r="76" spans="1:19" ht="15.75" customHeight="1" x14ac:dyDescent="0.25">
      <c r="A76" s="57">
        <v>45748</v>
      </c>
      <c r="B76" s="112"/>
      <c r="C76" s="112"/>
      <c r="D76" s="59" t="s">
        <v>27</v>
      </c>
      <c r="E76" s="112"/>
      <c r="F76" s="114"/>
      <c r="G76" s="114"/>
      <c r="H76" s="114"/>
      <c r="I76" s="114"/>
      <c r="J76" s="114"/>
      <c r="K76" s="116"/>
      <c r="L76" s="104"/>
      <c r="M76" s="106"/>
      <c r="N76" s="106"/>
      <c r="O76" s="108"/>
      <c r="P76" s="109"/>
      <c r="Q76" s="104"/>
      <c r="R76" s="102"/>
      <c r="S76" s="145"/>
    </row>
    <row r="77" spans="1:19" ht="15.75" customHeight="1" x14ac:dyDescent="0.25">
      <c r="A77" s="57">
        <v>45778</v>
      </c>
      <c r="B77" s="111">
        <v>2772.9</v>
      </c>
      <c r="C77" s="111">
        <v>897.8</v>
      </c>
      <c r="D77" s="59" t="s">
        <v>17</v>
      </c>
      <c r="E77" s="111" t="s">
        <v>23</v>
      </c>
      <c r="F77" s="113">
        <f>5203+276</f>
        <v>5479</v>
      </c>
      <c r="G77" s="113">
        <f>4632+68+26</f>
        <v>4726</v>
      </c>
      <c r="H77" s="113">
        <f>14+15+27</f>
        <v>56</v>
      </c>
      <c r="I77" s="113">
        <f>F77-(G77+H77)</f>
        <v>697</v>
      </c>
      <c r="J77" s="113">
        <f>I77</f>
        <v>697</v>
      </c>
      <c r="K77" s="115" t="s">
        <v>107</v>
      </c>
      <c r="L77" s="103">
        <f>IF(J77&lt;0,0,I77)</f>
        <v>697</v>
      </c>
      <c r="M77" s="105"/>
      <c r="N77" s="105"/>
      <c r="O77" s="107">
        <v>709.26199999999994</v>
      </c>
      <c r="P77" s="99">
        <f>O77*R1</f>
        <v>3695.2550199999996</v>
      </c>
      <c r="Q77" s="119">
        <f>L77-O77</f>
        <v>-12.261999999999944</v>
      </c>
      <c r="R77" s="101"/>
      <c r="S77" s="145">
        <f>Q77*R1</f>
        <v>-63.885019999999706</v>
      </c>
    </row>
    <row r="78" spans="1:19" ht="15.75" customHeight="1" x14ac:dyDescent="0.25">
      <c r="A78" s="57">
        <v>45778</v>
      </c>
      <c r="B78" s="112"/>
      <c r="C78" s="112"/>
      <c r="D78" s="59" t="s">
        <v>27</v>
      </c>
      <c r="E78" s="112"/>
      <c r="F78" s="114"/>
      <c r="G78" s="114"/>
      <c r="H78" s="114"/>
      <c r="I78" s="114"/>
      <c r="J78" s="114"/>
      <c r="K78" s="116"/>
      <c r="L78" s="104"/>
      <c r="M78" s="106"/>
      <c r="N78" s="106"/>
      <c r="O78" s="108"/>
      <c r="P78" s="109"/>
      <c r="Q78" s="104"/>
      <c r="R78" s="102"/>
      <c r="S78" s="145"/>
    </row>
    <row r="79" spans="1:19" ht="15.75" customHeight="1" x14ac:dyDescent="0.25">
      <c r="A79" s="57">
        <v>45809</v>
      </c>
      <c r="B79" s="111">
        <v>2772.9</v>
      </c>
      <c r="C79" s="111">
        <v>897.8</v>
      </c>
      <c r="D79" s="59" t="s">
        <v>17</v>
      </c>
      <c r="E79" s="111" t="s">
        <v>23</v>
      </c>
      <c r="F79" s="113">
        <f>5863+215</f>
        <v>6078</v>
      </c>
      <c r="G79" s="113">
        <f>5290+66+26</f>
        <v>5382</v>
      </c>
      <c r="H79" s="113">
        <f>14+15+27</f>
        <v>56</v>
      </c>
      <c r="I79" s="113">
        <f>F79-(G79+H79)</f>
        <v>640</v>
      </c>
      <c r="J79" s="113">
        <f>I79</f>
        <v>640</v>
      </c>
      <c r="K79" s="115" t="s">
        <v>108</v>
      </c>
      <c r="L79" s="103">
        <f>IF(J79&lt;0,0,I79)</f>
        <v>640</v>
      </c>
      <c r="M79" s="105"/>
      <c r="N79" s="105"/>
      <c r="O79" s="107">
        <v>709.26199999999994</v>
      </c>
      <c r="P79" s="99">
        <f>O79*R1</f>
        <v>3695.2550199999996</v>
      </c>
      <c r="Q79" s="119">
        <f>L79-O79</f>
        <v>-69.261999999999944</v>
      </c>
      <c r="R79" s="101"/>
      <c r="S79" s="145">
        <f>Q79*R1</f>
        <v>-360.85501999999968</v>
      </c>
    </row>
    <row r="80" spans="1:19" ht="15.75" customHeight="1" x14ac:dyDescent="0.25">
      <c r="A80" s="57">
        <v>45809</v>
      </c>
      <c r="B80" s="112"/>
      <c r="C80" s="112"/>
      <c r="D80" s="59" t="s">
        <v>27</v>
      </c>
      <c r="E80" s="112"/>
      <c r="F80" s="114"/>
      <c r="G80" s="114"/>
      <c r="H80" s="114"/>
      <c r="I80" s="114"/>
      <c r="J80" s="114"/>
      <c r="K80" s="116"/>
      <c r="L80" s="104"/>
      <c r="M80" s="106"/>
      <c r="N80" s="106"/>
      <c r="O80" s="108"/>
      <c r="P80" s="109"/>
      <c r="Q80" s="104"/>
      <c r="R80" s="102"/>
      <c r="S80" s="145"/>
    </row>
    <row r="81" spans="1:19" ht="15.75" customHeight="1" x14ac:dyDescent="0.25">
      <c r="A81" s="57">
        <v>45839</v>
      </c>
      <c r="B81" s="111">
        <v>2772.9</v>
      </c>
      <c r="C81" s="111">
        <v>897.8</v>
      </c>
      <c r="D81" s="59" t="s">
        <v>17</v>
      </c>
      <c r="E81" s="111" t="s">
        <v>23</v>
      </c>
      <c r="F81" s="113">
        <f>4996+275</f>
        <v>5271</v>
      </c>
      <c r="G81" s="113">
        <f>5659+50+18</f>
        <v>5727</v>
      </c>
      <c r="H81" s="113">
        <f>14+15+27</f>
        <v>56</v>
      </c>
      <c r="I81" s="113">
        <f>F81-(G81+H81)</f>
        <v>-512</v>
      </c>
      <c r="J81" s="113">
        <f t="shared" ref="J81" si="45">I81</f>
        <v>-512</v>
      </c>
      <c r="K81" s="115" t="s">
        <v>109</v>
      </c>
      <c r="L81" s="103">
        <f t="shared" ref="L81" si="46">IF(J81&lt;0,0,I81)</f>
        <v>0</v>
      </c>
      <c r="M81" s="105"/>
      <c r="N81" s="105"/>
      <c r="O81" s="107">
        <v>709.26199999999994</v>
      </c>
      <c r="P81" s="99">
        <f>O81*R2</f>
        <v>4156.2753199999997</v>
      </c>
      <c r="Q81" s="119">
        <f>-O81</f>
        <v>-709.26199999999994</v>
      </c>
      <c r="R81" s="101"/>
      <c r="S81" s="145">
        <f>Q81*R2</f>
        <v>-4156.2753199999997</v>
      </c>
    </row>
    <row r="82" spans="1:19" ht="15.75" customHeight="1" x14ac:dyDescent="0.25">
      <c r="A82" s="57">
        <v>45839</v>
      </c>
      <c r="B82" s="112"/>
      <c r="C82" s="112"/>
      <c r="D82" s="59" t="s">
        <v>27</v>
      </c>
      <c r="E82" s="112"/>
      <c r="F82" s="114"/>
      <c r="G82" s="114"/>
      <c r="H82" s="114"/>
      <c r="I82" s="114"/>
      <c r="J82" s="114"/>
      <c r="K82" s="116"/>
      <c r="L82" s="104"/>
      <c r="M82" s="106"/>
      <c r="N82" s="106"/>
      <c r="O82" s="108"/>
      <c r="P82" s="109"/>
      <c r="Q82" s="104"/>
      <c r="R82" s="102"/>
      <c r="S82" s="145"/>
    </row>
    <row r="83" spans="1:19" ht="15.75" customHeight="1" x14ac:dyDescent="0.25">
      <c r="A83" s="57">
        <v>45870</v>
      </c>
      <c r="B83" s="111">
        <v>2772.9</v>
      </c>
      <c r="C83" s="111">
        <v>897.8</v>
      </c>
      <c r="D83" s="59" t="s">
        <v>17</v>
      </c>
      <c r="E83" s="111" t="s">
        <v>23</v>
      </c>
      <c r="F83" s="113">
        <f>311+5552</f>
        <v>5863</v>
      </c>
      <c r="G83" s="113">
        <f>4970+69+29</f>
        <v>5068</v>
      </c>
      <c r="H83" s="113">
        <f>14+15+27</f>
        <v>56</v>
      </c>
      <c r="I83" s="113">
        <f>F83-(G83+H83)</f>
        <v>739</v>
      </c>
      <c r="J83" s="113">
        <f>I83+J81</f>
        <v>227</v>
      </c>
      <c r="K83" s="115" t="s">
        <v>113</v>
      </c>
      <c r="L83" s="103">
        <f>J83</f>
        <v>227</v>
      </c>
      <c r="M83" s="105"/>
      <c r="N83" s="105"/>
      <c r="O83" s="107">
        <v>709.26199999999994</v>
      </c>
      <c r="P83" s="99">
        <f>O83*R2</f>
        <v>4156.2753199999997</v>
      </c>
      <c r="Q83" s="119">
        <f>L83-O83</f>
        <v>-482.26199999999994</v>
      </c>
      <c r="R83" s="101"/>
      <c r="S83" s="145">
        <f>Q83*R2</f>
        <v>-2826.0553199999999</v>
      </c>
    </row>
    <row r="84" spans="1:19" ht="15.75" customHeight="1" x14ac:dyDescent="0.25">
      <c r="A84" s="57">
        <v>45870</v>
      </c>
      <c r="B84" s="112"/>
      <c r="C84" s="112"/>
      <c r="D84" s="59" t="s">
        <v>27</v>
      </c>
      <c r="E84" s="112"/>
      <c r="F84" s="114"/>
      <c r="G84" s="114"/>
      <c r="H84" s="114"/>
      <c r="I84" s="114"/>
      <c r="J84" s="114"/>
      <c r="K84" s="116"/>
      <c r="L84" s="104"/>
      <c r="M84" s="106"/>
      <c r="N84" s="106"/>
      <c r="O84" s="108"/>
      <c r="P84" s="109"/>
      <c r="Q84" s="104"/>
      <c r="R84" s="102"/>
      <c r="S84" s="145"/>
    </row>
    <row r="85" spans="1:19" ht="15.75" customHeight="1" x14ac:dyDescent="0.25">
      <c r="A85" s="57">
        <v>45901</v>
      </c>
      <c r="B85" s="111">
        <v>2772.9</v>
      </c>
      <c r="C85" s="111">
        <v>897.8</v>
      </c>
      <c r="D85" s="59" t="s">
        <v>17</v>
      </c>
      <c r="E85" s="111" t="s">
        <v>23</v>
      </c>
      <c r="F85" s="113">
        <f>5569+273</f>
        <v>5842</v>
      </c>
      <c r="G85" s="113">
        <f>5013+47+15</f>
        <v>5075</v>
      </c>
      <c r="H85" s="113">
        <f>14+15+27</f>
        <v>56</v>
      </c>
      <c r="I85" s="113">
        <f t="shared" ref="I85" si="47">F85-(G85+H85)</f>
        <v>711</v>
      </c>
      <c r="J85" s="113">
        <f>I85</f>
        <v>711</v>
      </c>
      <c r="K85" s="115" t="s">
        <v>110</v>
      </c>
      <c r="L85" s="103">
        <f t="shared" ref="L85" si="48">IF(J85&lt;0,0,I85)</f>
        <v>711</v>
      </c>
      <c r="M85" s="105"/>
      <c r="N85" s="105"/>
      <c r="O85" s="107">
        <v>709.26199999999994</v>
      </c>
      <c r="P85" s="99">
        <f>O85*R2</f>
        <v>4156.2753199999997</v>
      </c>
      <c r="Q85" s="119"/>
      <c r="R85" s="119">
        <f>L85-O85</f>
        <v>1.7380000000000564</v>
      </c>
      <c r="S85" s="145">
        <f>R85*R2</f>
        <v>10.184680000000331</v>
      </c>
    </row>
    <row r="86" spans="1:19" ht="15.75" customHeight="1" x14ac:dyDescent="0.25">
      <c r="A86" s="57">
        <v>45901</v>
      </c>
      <c r="B86" s="112"/>
      <c r="C86" s="112"/>
      <c r="D86" s="59" t="s">
        <v>27</v>
      </c>
      <c r="E86" s="112"/>
      <c r="F86" s="114"/>
      <c r="G86" s="114"/>
      <c r="H86" s="114"/>
      <c r="I86" s="114"/>
      <c r="J86" s="114"/>
      <c r="K86" s="116"/>
      <c r="L86" s="104"/>
      <c r="M86" s="106"/>
      <c r="N86" s="106"/>
      <c r="O86" s="108"/>
      <c r="P86" s="109"/>
      <c r="Q86" s="104"/>
      <c r="R86" s="104"/>
      <c r="S86" s="145"/>
    </row>
    <row r="87" spans="1:19" ht="15.75" customHeight="1" x14ac:dyDescent="0.25">
      <c r="A87" s="57">
        <v>45931</v>
      </c>
      <c r="B87" s="111">
        <v>2772.9</v>
      </c>
      <c r="C87" s="111">
        <v>897.8</v>
      </c>
      <c r="D87" s="59" t="s">
        <v>17</v>
      </c>
      <c r="E87" s="111" t="s">
        <v>23</v>
      </c>
      <c r="F87" s="113">
        <f>268+6226</f>
        <v>6494</v>
      </c>
      <c r="G87" s="113">
        <f>5406+46+12</f>
        <v>5464</v>
      </c>
      <c r="H87" s="113">
        <f>14+15+27</f>
        <v>56</v>
      </c>
      <c r="I87" s="113">
        <f t="shared" ref="I87" si="49">F87-(G87+H87)</f>
        <v>974</v>
      </c>
      <c r="J87" s="113">
        <f>I87</f>
        <v>974</v>
      </c>
      <c r="K87" s="115" t="s">
        <v>111</v>
      </c>
      <c r="L87" s="103">
        <f t="shared" ref="L87" si="50">IF(J87&lt;0,0,I87)</f>
        <v>974</v>
      </c>
      <c r="M87" s="105"/>
      <c r="N87" s="105"/>
      <c r="O87" s="107">
        <v>709.26199999999994</v>
      </c>
      <c r="P87" s="99">
        <f>O87*R2</f>
        <v>4156.2753199999997</v>
      </c>
      <c r="Q87" s="119"/>
      <c r="R87" s="101">
        <f>L87-O87</f>
        <v>264.73800000000006</v>
      </c>
      <c r="S87" s="145">
        <f>R87*R2</f>
        <v>1551.3646800000004</v>
      </c>
    </row>
    <row r="88" spans="1:19" ht="15.75" customHeight="1" x14ac:dyDescent="0.25">
      <c r="A88" s="57">
        <v>45931</v>
      </c>
      <c r="B88" s="112"/>
      <c r="C88" s="112"/>
      <c r="D88" s="59" t="s">
        <v>27</v>
      </c>
      <c r="E88" s="112"/>
      <c r="F88" s="114"/>
      <c r="G88" s="114"/>
      <c r="H88" s="114"/>
      <c r="I88" s="114"/>
      <c r="J88" s="114"/>
      <c r="K88" s="116"/>
      <c r="L88" s="104"/>
      <c r="M88" s="106"/>
      <c r="N88" s="106"/>
      <c r="O88" s="108"/>
      <c r="P88" s="109"/>
      <c r="Q88" s="104"/>
      <c r="R88" s="102"/>
      <c r="S88" s="145"/>
    </row>
    <row r="89" spans="1:19" ht="15.75" customHeight="1" x14ac:dyDescent="0.25">
      <c r="A89" s="57">
        <v>45962</v>
      </c>
      <c r="B89" s="111">
        <v>2772.9</v>
      </c>
      <c r="C89" s="111">
        <v>897.8</v>
      </c>
      <c r="D89" s="59" t="s">
        <v>17</v>
      </c>
      <c r="E89" s="111" t="s">
        <v>23</v>
      </c>
      <c r="F89" s="113">
        <f>290+6307</f>
        <v>6597</v>
      </c>
      <c r="G89" s="113">
        <f>4661+65+23</f>
        <v>4749</v>
      </c>
      <c r="H89" s="113">
        <f>14+15+27</f>
        <v>56</v>
      </c>
      <c r="I89" s="113">
        <f t="shared" ref="I89" si="51">F89-(G89+H89)</f>
        <v>1792</v>
      </c>
      <c r="J89" s="113">
        <f>I89</f>
        <v>1792</v>
      </c>
      <c r="K89" s="115" t="s">
        <v>114</v>
      </c>
      <c r="L89" s="103">
        <f t="shared" ref="L89" si="52">IF(J89&lt;0,0,I89)</f>
        <v>1792</v>
      </c>
      <c r="M89" s="105"/>
      <c r="N89" s="105"/>
      <c r="O89" s="107">
        <v>709.26199999999994</v>
      </c>
      <c r="P89" s="99">
        <f>O89*R2</f>
        <v>4156.2753199999997</v>
      </c>
      <c r="Q89" s="119"/>
      <c r="R89" s="119">
        <f>L89-O89</f>
        <v>1082.7380000000001</v>
      </c>
      <c r="S89" s="145">
        <f>R89*R2</f>
        <v>6344.8446800000011</v>
      </c>
    </row>
    <row r="90" spans="1:19" ht="15.75" customHeight="1" x14ac:dyDescent="0.25">
      <c r="A90" s="57">
        <v>45962</v>
      </c>
      <c r="B90" s="112"/>
      <c r="C90" s="112"/>
      <c r="D90" s="59" t="s">
        <v>27</v>
      </c>
      <c r="E90" s="112"/>
      <c r="F90" s="114"/>
      <c r="G90" s="114"/>
      <c r="H90" s="114"/>
      <c r="I90" s="114"/>
      <c r="J90" s="114"/>
      <c r="K90" s="116"/>
      <c r="L90" s="104"/>
      <c r="M90" s="106"/>
      <c r="N90" s="106"/>
      <c r="O90" s="108"/>
      <c r="P90" s="109"/>
      <c r="Q90" s="104"/>
      <c r="R90" s="104"/>
      <c r="S90" s="145"/>
    </row>
    <row r="91" spans="1:19" ht="15.75" customHeight="1" x14ac:dyDescent="0.25">
      <c r="A91" s="57">
        <v>45992</v>
      </c>
      <c r="B91" s="111">
        <v>2772.9</v>
      </c>
      <c r="C91" s="111">
        <v>897.8</v>
      </c>
      <c r="D91" s="59" t="s">
        <v>17</v>
      </c>
      <c r="E91" s="111" t="s">
        <v>23</v>
      </c>
      <c r="F91" s="113">
        <f>257+5787</f>
        <v>6044</v>
      </c>
      <c r="G91" s="113">
        <f>6798+68+25</f>
        <v>6891</v>
      </c>
      <c r="H91" s="113">
        <f>14+15+27</f>
        <v>56</v>
      </c>
      <c r="I91" s="113">
        <f t="shared" ref="I91" si="53">F91-(G91+H91)</f>
        <v>-903</v>
      </c>
      <c r="J91" s="113">
        <f t="shared" ref="J91" si="54">I91</f>
        <v>-903</v>
      </c>
      <c r="K91" s="115" t="s">
        <v>112</v>
      </c>
      <c r="L91" s="103">
        <f t="shared" ref="L91" si="55">IF(J91&lt;0,0,I91)</f>
        <v>0</v>
      </c>
      <c r="M91" s="105"/>
      <c r="N91" s="105"/>
      <c r="O91" s="107">
        <v>709.26199999999994</v>
      </c>
      <c r="P91" s="99">
        <f>O91*R2</f>
        <v>4156.2753199999997</v>
      </c>
      <c r="Q91" s="119">
        <f>-O91</f>
        <v>-709.26199999999994</v>
      </c>
      <c r="R91" s="101"/>
      <c r="S91" s="145">
        <f>Q91*R2</f>
        <v>-4156.2753199999997</v>
      </c>
    </row>
    <row r="92" spans="1:19" ht="15.75" customHeight="1" x14ac:dyDescent="0.25">
      <c r="A92" s="57">
        <v>45992</v>
      </c>
      <c r="B92" s="112"/>
      <c r="C92" s="112"/>
      <c r="D92" s="59" t="s">
        <v>27</v>
      </c>
      <c r="E92" s="112"/>
      <c r="F92" s="114"/>
      <c r="G92" s="114"/>
      <c r="H92" s="114"/>
      <c r="I92" s="114"/>
      <c r="J92" s="114"/>
      <c r="K92" s="116"/>
      <c r="L92" s="104"/>
      <c r="M92" s="106"/>
      <c r="N92" s="106"/>
      <c r="O92" s="108"/>
      <c r="P92" s="109"/>
      <c r="Q92" s="147"/>
      <c r="R92" s="110"/>
      <c r="S92" s="146"/>
    </row>
    <row r="93" spans="1:19" s="20" customFormat="1" ht="20.100000000000001" customHeight="1" x14ac:dyDescent="0.25">
      <c r="A93" s="76"/>
      <c r="B93" s="76"/>
      <c r="C93" s="76"/>
      <c r="E93" s="76"/>
      <c r="G93" s="78"/>
      <c r="H93" s="78"/>
      <c r="I93" s="76"/>
      <c r="J93" s="76"/>
      <c r="K93" s="77"/>
      <c r="L93" s="74">
        <f>SUM(L69:L92)</f>
        <v>7076</v>
      </c>
      <c r="M93" s="76"/>
      <c r="N93" s="76"/>
      <c r="O93" s="74">
        <f>SUM(O69:O92)</f>
        <v>8511.1439999999984</v>
      </c>
      <c r="P93" s="74">
        <f>SUM(P69:P92)</f>
        <v>47109.18204</v>
      </c>
      <c r="Q93" s="95" t="s">
        <v>116</v>
      </c>
      <c r="R93" s="95">
        <f>SUM(Q69:R80)</f>
        <v>-883.57199999999966</v>
      </c>
      <c r="S93" s="96">
        <f>SUM(S69:S80)</f>
        <v>-4603.4101199999986</v>
      </c>
    </row>
    <row r="94" spans="1:19" s="20" customFormat="1" ht="20.100000000000001" customHeight="1" x14ac:dyDescent="0.25">
      <c r="A94" s="76"/>
      <c r="B94" s="76"/>
      <c r="C94" s="76"/>
      <c r="E94" s="76"/>
      <c r="F94" s="79"/>
      <c r="G94" s="79"/>
      <c r="H94" s="79"/>
      <c r="I94" s="76"/>
      <c r="J94" s="76"/>
      <c r="K94" s="77"/>
      <c r="L94" s="74"/>
      <c r="M94" s="76"/>
      <c r="N94" s="76"/>
      <c r="O94" s="76"/>
      <c r="P94" s="76"/>
      <c r="Q94" s="97" t="s">
        <v>117</v>
      </c>
      <c r="R94" s="95">
        <f>SUM(Q81:R92)</f>
        <v>-551.57199999999966</v>
      </c>
      <c r="S94" s="96">
        <f>SUM(S81:S92)</f>
        <v>-3232.2119199999979</v>
      </c>
    </row>
    <row r="95" spans="1:19" ht="15" customHeight="1" x14ac:dyDescent="0.25">
      <c r="I95" s="72"/>
      <c r="J95" s="72"/>
      <c r="K95" s="72"/>
      <c r="M95" s="72"/>
      <c r="N95" s="72"/>
      <c r="O95" s="72"/>
      <c r="P95" s="72"/>
      <c r="Q95" s="97"/>
      <c r="R95" s="97"/>
      <c r="S95" s="97"/>
    </row>
    <row r="96" spans="1:19" ht="15" customHeight="1" x14ac:dyDescent="0.25">
      <c r="I96" s="72"/>
      <c r="J96" s="72"/>
      <c r="K96" s="72"/>
      <c r="M96" s="72"/>
      <c r="N96" s="72"/>
      <c r="O96" s="72"/>
      <c r="P96" s="72"/>
      <c r="Q96" s="97"/>
      <c r="R96" s="95">
        <f>R93+R94</f>
        <v>-1435.1439999999993</v>
      </c>
      <c r="S96" s="96">
        <f>S93+S94</f>
        <v>-7835.6220399999966</v>
      </c>
    </row>
  </sheetData>
  <sheetProtection algorithmName="SHA-512" hashValue="nUCL13bFC6h+BlKggyXwpNI0mg2aQ6oxkETVJprXwF8Gki77iszT740iS49bYzBlHl/A8y8kzUExFwAQtJASUg==" saltValue="p6dsj2qieiWtYtQ7+bvX1A==" spinCount="100000" sheet="1" objects="1" scenarios="1" selectLockedCells="1" selectUnlockedCells="1"/>
  <mergeCells count="702">
    <mergeCell ref="L46:L47"/>
    <mergeCell ref="M46:M47"/>
    <mergeCell ref="N46:N47"/>
    <mergeCell ref="O46:O47"/>
    <mergeCell ref="P46:P47"/>
    <mergeCell ref="Q46:Q47"/>
    <mergeCell ref="R46:R47"/>
    <mergeCell ref="L50:L51"/>
    <mergeCell ref="H38:H39"/>
    <mergeCell ref="I38:I39"/>
    <mergeCell ref="J38:J39"/>
    <mergeCell ref="K38:K39"/>
    <mergeCell ref="O38:O39"/>
    <mergeCell ref="P38:P39"/>
    <mergeCell ref="Q38:Q39"/>
    <mergeCell ref="R38:R39"/>
    <mergeCell ref="L42:L43"/>
    <mergeCell ref="M42:M43"/>
    <mergeCell ref="N42:N43"/>
    <mergeCell ref="O42:O43"/>
    <mergeCell ref="P42:P43"/>
    <mergeCell ref="Q42:Q43"/>
    <mergeCell ref="R42:R43"/>
    <mergeCell ref="S38:S39"/>
    <mergeCell ref="L38:L39"/>
    <mergeCell ref="M38:M39"/>
    <mergeCell ref="N38:N39"/>
    <mergeCell ref="Q34:Q35"/>
    <mergeCell ref="R34:R35"/>
    <mergeCell ref="S34:S35"/>
    <mergeCell ref="B36:B37"/>
    <mergeCell ref="C36:C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B32:B33"/>
    <mergeCell ref="C32:C33"/>
    <mergeCell ref="E32:E33"/>
    <mergeCell ref="F32:F33"/>
    <mergeCell ref="G32:G33"/>
    <mergeCell ref="B38:B39"/>
    <mergeCell ref="C38:C39"/>
    <mergeCell ref="E38:E39"/>
    <mergeCell ref="F38:F39"/>
    <mergeCell ref="G38:G39"/>
    <mergeCell ref="B34:B35"/>
    <mergeCell ref="C34:C35"/>
    <mergeCell ref="E34:E35"/>
    <mergeCell ref="F34:F35"/>
    <mergeCell ref="G34:G35"/>
    <mergeCell ref="P28:P29"/>
    <mergeCell ref="Q28:Q29"/>
    <mergeCell ref="R28:R29"/>
    <mergeCell ref="S28:S29"/>
    <mergeCell ref="P32:P33"/>
    <mergeCell ref="Q32:Q33"/>
    <mergeCell ref="H32:H33"/>
    <mergeCell ref="I32:I33"/>
    <mergeCell ref="J32:J33"/>
    <mergeCell ref="K32:K33"/>
    <mergeCell ref="L32:L33"/>
    <mergeCell ref="R32:R33"/>
    <mergeCell ref="S32:S33"/>
    <mergeCell ref="M32:M33"/>
    <mergeCell ref="N32:N33"/>
    <mergeCell ref="O32:O33"/>
    <mergeCell ref="H30:H31"/>
    <mergeCell ref="I30:I31"/>
    <mergeCell ref="J30:J31"/>
    <mergeCell ref="K30:K31"/>
    <mergeCell ref="O30:O31"/>
    <mergeCell ref="P30:P31"/>
    <mergeCell ref="Q30:Q31"/>
    <mergeCell ref="R30:R31"/>
    <mergeCell ref="S30:S31"/>
    <mergeCell ref="L30:L31"/>
    <mergeCell ref="M30:M31"/>
    <mergeCell ref="N30:N31"/>
    <mergeCell ref="Q26:Q27"/>
    <mergeCell ref="R26:R27"/>
    <mergeCell ref="S26:S27"/>
    <mergeCell ref="B28:B29"/>
    <mergeCell ref="C28:C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B30:B31"/>
    <mergeCell ref="C30:C31"/>
    <mergeCell ref="E30:E31"/>
    <mergeCell ref="F30:F31"/>
    <mergeCell ref="G30:G31"/>
    <mergeCell ref="R24:R25"/>
    <mergeCell ref="S24:S25"/>
    <mergeCell ref="B26:B27"/>
    <mergeCell ref="C26:C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M24:M25"/>
    <mergeCell ref="N24:N25"/>
    <mergeCell ref="O24:O25"/>
    <mergeCell ref="P24:P25"/>
    <mergeCell ref="Q24:Q25"/>
    <mergeCell ref="H24:H25"/>
    <mergeCell ref="I24:I25"/>
    <mergeCell ref="J24:J25"/>
    <mergeCell ref="K24:K25"/>
    <mergeCell ref="L24:L25"/>
    <mergeCell ref="B24:B25"/>
    <mergeCell ref="C24:C25"/>
    <mergeCell ref="E24:E25"/>
    <mergeCell ref="F24:F25"/>
    <mergeCell ref="G24:G25"/>
    <mergeCell ref="O22:O23"/>
    <mergeCell ref="P22:P23"/>
    <mergeCell ref="Q22:Q23"/>
    <mergeCell ref="R22:R23"/>
    <mergeCell ref="S22:S23"/>
    <mergeCell ref="P20:P21"/>
    <mergeCell ref="Q20:Q21"/>
    <mergeCell ref="R20:R21"/>
    <mergeCell ref="S20:S21"/>
    <mergeCell ref="B22:B23"/>
    <mergeCell ref="C22:C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R18:R19"/>
    <mergeCell ref="S18:S19"/>
    <mergeCell ref="B20:B21"/>
    <mergeCell ref="C20:C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S12:S13"/>
    <mergeCell ref="R16:R17"/>
    <mergeCell ref="S16:S17"/>
    <mergeCell ref="B18:B19"/>
    <mergeCell ref="C18:C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M16:M17"/>
    <mergeCell ref="N16:N17"/>
    <mergeCell ref="O16:O17"/>
    <mergeCell ref="P16:P17"/>
    <mergeCell ref="Q16:Q17"/>
    <mergeCell ref="H16:H17"/>
    <mergeCell ref="Q18:Q19"/>
    <mergeCell ref="J10:J11"/>
    <mergeCell ref="S3:S4"/>
    <mergeCell ref="S6:S7"/>
    <mergeCell ref="S8:S9"/>
    <mergeCell ref="S10:S11"/>
    <mergeCell ref="M6:M7"/>
    <mergeCell ref="L6:L7"/>
    <mergeCell ref="K6:K7"/>
    <mergeCell ref="F6:F7"/>
    <mergeCell ref="G6:G7"/>
    <mergeCell ref="F10:F11"/>
    <mergeCell ref="G10:G11"/>
    <mergeCell ref="H10:H11"/>
    <mergeCell ref="I10:I11"/>
    <mergeCell ref="J6:J7"/>
    <mergeCell ref="J8:J9"/>
    <mergeCell ref="P3:P4"/>
    <mergeCell ref="K3:L3"/>
    <mergeCell ref="H3:H4"/>
    <mergeCell ref="J3:J4"/>
    <mergeCell ref="N6:N7"/>
    <mergeCell ref="O6:O7"/>
    <mergeCell ref="P6:P7"/>
    <mergeCell ref="Q6:Q7"/>
    <mergeCell ref="K16:K17"/>
    <mergeCell ref="L16:L17"/>
    <mergeCell ref="B16:B17"/>
    <mergeCell ref="C16:C17"/>
    <mergeCell ref="E16:E17"/>
    <mergeCell ref="F16:F17"/>
    <mergeCell ref="G16:G17"/>
    <mergeCell ref="J16:J17"/>
    <mergeCell ref="I16:I17"/>
    <mergeCell ref="O12:O13"/>
    <mergeCell ref="P12:P13"/>
    <mergeCell ref="Q12:Q13"/>
    <mergeCell ref="B12:B13"/>
    <mergeCell ref="C12:C13"/>
    <mergeCell ref="E6:E7"/>
    <mergeCell ref="E8:E9"/>
    <mergeCell ref="E10:E11"/>
    <mergeCell ref="E12:E13"/>
    <mergeCell ref="B8:B9"/>
    <mergeCell ref="B6:B7"/>
    <mergeCell ref="C6:C7"/>
    <mergeCell ref="C8:C9"/>
    <mergeCell ref="B10:B11"/>
    <mergeCell ref="C10:C11"/>
    <mergeCell ref="F12:F13"/>
    <mergeCell ref="G12:G13"/>
    <mergeCell ref="H12:H13"/>
    <mergeCell ref="I12:I13"/>
    <mergeCell ref="K12:K13"/>
    <mergeCell ref="J12:J13"/>
    <mergeCell ref="L12:L13"/>
    <mergeCell ref="M12:M13"/>
    <mergeCell ref="N12:N13"/>
    <mergeCell ref="G2:K2"/>
    <mergeCell ref="P8:P9"/>
    <mergeCell ref="Q8:Q9"/>
    <mergeCell ref="Q3:R3"/>
    <mergeCell ref="A1:D1"/>
    <mergeCell ref="F8:F9"/>
    <mergeCell ref="G8:G9"/>
    <mergeCell ref="H8:H9"/>
    <mergeCell ref="I8:I9"/>
    <mergeCell ref="H6:H7"/>
    <mergeCell ref="I6:I7"/>
    <mergeCell ref="A3:A4"/>
    <mergeCell ref="D3:D4"/>
    <mergeCell ref="E3:E4"/>
    <mergeCell ref="F3:F4"/>
    <mergeCell ref="G3:G4"/>
    <mergeCell ref="C3:C4"/>
    <mergeCell ref="O3:O4"/>
    <mergeCell ref="I3:I4"/>
    <mergeCell ref="B3:B4"/>
    <mergeCell ref="M3:M4"/>
    <mergeCell ref="N3:N4"/>
    <mergeCell ref="F42:F43"/>
    <mergeCell ref="G42:G43"/>
    <mergeCell ref="H42:H43"/>
    <mergeCell ref="I42:I43"/>
    <mergeCell ref="J42:J43"/>
    <mergeCell ref="K42:K43"/>
    <mergeCell ref="P1:P2"/>
    <mergeCell ref="R12:R13"/>
    <mergeCell ref="K8:K9"/>
    <mergeCell ref="L8:L9"/>
    <mergeCell ref="M8:M9"/>
    <mergeCell ref="N8:N9"/>
    <mergeCell ref="O8:O9"/>
    <mergeCell ref="L10:L11"/>
    <mergeCell ref="M10:M11"/>
    <mergeCell ref="N10:N11"/>
    <mergeCell ref="O10:O11"/>
    <mergeCell ref="P10:P11"/>
    <mergeCell ref="K10:K11"/>
    <mergeCell ref="R8:R9"/>
    <mergeCell ref="Q10:Q11"/>
    <mergeCell ref="R10:R11"/>
    <mergeCell ref="R6:R7"/>
    <mergeCell ref="G1:K1"/>
    <mergeCell ref="I46:I47"/>
    <mergeCell ref="J46:J47"/>
    <mergeCell ref="K46:K47"/>
    <mergeCell ref="S42:S43"/>
    <mergeCell ref="B44:B45"/>
    <mergeCell ref="C44:C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B42:B43"/>
    <mergeCell ref="C42:C43"/>
    <mergeCell ref="E42:E43"/>
    <mergeCell ref="S46:S47"/>
    <mergeCell ref="B48:B49"/>
    <mergeCell ref="C48:C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46:B47"/>
    <mergeCell ref="C46:C47"/>
    <mergeCell ref="E46:E47"/>
    <mergeCell ref="F46:F47"/>
    <mergeCell ref="G46:G47"/>
    <mergeCell ref="H46:H47"/>
    <mergeCell ref="B50:B51"/>
    <mergeCell ref="C50:C51"/>
    <mergeCell ref="E50:E51"/>
    <mergeCell ref="F50:F51"/>
    <mergeCell ref="G50:G51"/>
    <mergeCell ref="H50:H51"/>
    <mergeCell ref="I50:I51"/>
    <mergeCell ref="J50:J51"/>
    <mergeCell ref="K50:K51"/>
    <mergeCell ref="M50:M51"/>
    <mergeCell ref="N50:N51"/>
    <mergeCell ref="O50:O51"/>
    <mergeCell ref="P50:P51"/>
    <mergeCell ref="Q50:Q51"/>
    <mergeCell ref="R50:R51"/>
    <mergeCell ref="S50:S51"/>
    <mergeCell ref="B52:B53"/>
    <mergeCell ref="C52:C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B54:B55"/>
    <mergeCell ref="C54:C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B58:B59"/>
    <mergeCell ref="C58:C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B62:B63"/>
    <mergeCell ref="C62:C63"/>
    <mergeCell ref="E62:E63"/>
    <mergeCell ref="F62:F63"/>
    <mergeCell ref="G62:G63"/>
    <mergeCell ref="H62:H63"/>
    <mergeCell ref="I62:I63"/>
    <mergeCell ref="J62:J63"/>
    <mergeCell ref="K62:K63"/>
    <mergeCell ref="R64:R65"/>
    <mergeCell ref="S64:S65"/>
    <mergeCell ref="L60:L61"/>
    <mergeCell ref="M60:M61"/>
    <mergeCell ref="N60:N61"/>
    <mergeCell ref="O60:O61"/>
    <mergeCell ref="P60:P61"/>
    <mergeCell ref="Q60:Q61"/>
    <mergeCell ref="R60:R61"/>
    <mergeCell ref="S60:S61"/>
    <mergeCell ref="L62:L63"/>
    <mergeCell ref="M62:M63"/>
    <mergeCell ref="N62:N63"/>
    <mergeCell ref="O62:O63"/>
    <mergeCell ref="P62:P63"/>
    <mergeCell ref="Q62:Q63"/>
    <mergeCell ref="R62:R63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S1:S2"/>
    <mergeCell ref="B69:B70"/>
    <mergeCell ref="C69:C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S69:S70"/>
    <mergeCell ref="S62:S63"/>
    <mergeCell ref="B64:B65"/>
    <mergeCell ref="C64:C65"/>
    <mergeCell ref="E64:E65"/>
    <mergeCell ref="F64:F65"/>
    <mergeCell ref="G64:G65"/>
    <mergeCell ref="H64:H65"/>
    <mergeCell ref="B71:B72"/>
    <mergeCell ref="C71:C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Q73:Q74"/>
    <mergeCell ref="R73:R74"/>
    <mergeCell ref="S73:S74"/>
    <mergeCell ref="B75:B76"/>
    <mergeCell ref="C75:C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S75:S76"/>
    <mergeCell ref="B77:B78"/>
    <mergeCell ref="C77:C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Q77:Q78"/>
    <mergeCell ref="R77:R78"/>
    <mergeCell ref="S77:S78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Q79:Q80"/>
    <mergeCell ref="R79:R80"/>
    <mergeCell ref="S79:S80"/>
    <mergeCell ref="B81:B82"/>
    <mergeCell ref="C81:C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P81:P82"/>
    <mergeCell ref="Q81:Q82"/>
    <mergeCell ref="R81:R82"/>
    <mergeCell ref="S81:S82"/>
    <mergeCell ref="B83:B84"/>
    <mergeCell ref="C83:C84"/>
    <mergeCell ref="E83:E84"/>
    <mergeCell ref="F83:F84"/>
    <mergeCell ref="G83:G84"/>
    <mergeCell ref="H83:H84"/>
    <mergeCell ref="I83:I84"/>
    <mergeCell ref="J83:J84"/>
    <mergeCell ref="K83:K84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Q87:Q88"/>
    <mergeCell ref="R87:R88"/>
    <mergeCell ref="S87:S88"/>
    <mergeCell ref="L83:L84"/>
    <mergeCell ref="M83:M84"/>
    <mergeCell ref="N83:N84"/>
    <mergeCell ref="O83:O84"/>
    <mergeCell ref="P83:P84"/>
    <mergeCell ref="Q83:Q84"/>
    <mergeCell ref="R83:R84"/>
    <mergeCell ref="S83:S84"/>
    <mergeCell ref="L85:L86"/>
    <mergeCell ref="M85:M86"/>
    <mergeCell ref="N85:N86"/>
    <mergeCell ref="O85:O86"/>
    <mergeCell ref="P85:P86"/>
    <mergeCell ref="R85:R86"/>
    <mergeCell ref="B87:B88"/>
    <mergeCell ref="C87:C88"/>
    <mergeCell ref="E87:E88"/>
    <mergeCell ref="F87:F88"/>
    <mergeCell ref="G87:G88"/>
    <mergeCell ref="H87:H88"/>
    <mergeCell ref="I87:I88"/>
    <mergeCell ref="J87:J88"/>
    <mergeCell ref="K87:K88"/>
    <mergeCell ref="B89:B90"/>
    <mergeCell ref="C89:C90"/>
    <mergeCell ref="E89:E90"/>
    <mergeCell ref="F89:F90"/>
    <mergeCell ref="G89:G90"/>
    <mergeCell ref="H89:H90"/>
    <mergeCell ref="I89:I90"/>
    <mergeCell ref="J89:J90"/>
    <mergeCell ref="K89:K90"/>
    <mergeCell ref="B91:B92"/>
    <mergeCell ref="C91:C92"/>
    <mergeCell ref="E91:E92"/>
    <mergeCell ref="F91:F92"/>
    <mergeCell ref="G91:G92"/>
    <mergeCell ref="H91:H92"/>
    <mergeCell ref="I91:I92"/>
    <mergeCell ref="J91:J92"/>
    <mergeCell ref="K91:K92"/>
    <mergeCell ref="S91:S92"/>
    <mergeCell ref="R69:R70"/>
    <mergeCell ref="Q85:Q86"/>
    <mergeCell ref="Q89:Q90"/>
    <mergeCell ref="L89:L90"/>
    <mergeCell ref="M89:M90"/>
    <mergeCell ref="N89:N90"/>
    <mergeCell ref="O89:O90"/>
    <mergeCell ref="P89:P90"/>
    <mergeCell ref="R89:R90"/>
    <mergeCell ref="S89:S90"/>
    <mergeCell ref="L91:L92"/>
    <mergeCell ref="M91:M92"/>
    <mergeCell ref="N91:N92"/>
    <mergeCell ref="O91:O92"/>
    <mergeCell ref="P91:P92"/>
    <mergeCell ref="Q91:Q92"/>
    <mergeCell ref="R91:R92"/>
    <mergeCell ref="S85:S86"/>
    <mergeCell ref="L87:L88"/>
    <mergeCell ref="M87:M88"/>
    <mergeCell ref="N87:N88"/>
    <mergeCell ref="O87:O88"/>
    <mergeCell ref="P87:P88"/>
  </mergeCells>
  <phoneticPr fontId="5" type="noConversion"/>
  <pageMargins left="0.25" right="0.25" top="0.75" bottom="0.75" header="0.3" footer="0.3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zoomScale="77" zoomScaleNormal="77" workbookViewId="0">
      <selection activeCell="A2" sqref="A2:D2"/>
    </sheetView>
  </sheetViews>
  <sheetFormatPr defaultRowHeight="15" x14ac:dyDescent="0.25"/>
  <cols>
    <col min="1" max="1" width="13.5703125" style="2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33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4689.3</v>
      </c>
      <c r="C7" s="10">
        <v>1555.7</v>
      </c>
      <c r="D7" s="19" t="s">
        <v>34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1245</v>
      </c>
      <c r="M7" s="10"/>
      <c r="N7" s="10"/>
      <c r="O7" s="45">
        <v>1244.558</v>
      </c>
      <c r="P7" s="36">
        <f>O7*M2</f>
        <v>5476.0552000000007</v>
      </c>
      <c r="Q7" s="48"/>
      <c r="R7" s="10"/>
      <c r="S7" s="16">
        <v>0</v>
      </c>
    </row>
    <row r="8" spans="1:19" ht="39.75" hidden="1" customHeight="1" x14ac:dyDescent="0.25">
      <c r="A8" s="18">
        <v>44835</v>
      </c>
      <c r="B8" s="10">
        <v>4689.3</v>
      </c>
      <c r="C8" s="10">
        <v>1555.7</v>
      </c>
      <c r="D8" s="19" t="s">
        <v>34</v>
      </c>
      <c r="E8" s="10" t="s">
        <v>23</v>
      </c>
      <c r="F8" s="11">
        <v>9617.2800000000007</v>
      </c>
      <c r="G8" s="11">
        <f>8837+184+66</f>
        <v>9087</v>
      </c>
      <c r="H8" s="11">
        <f t="shared" ref="H8:H14" si="0">10+14+15+15</f>
        <v>54</v>
      </c>
      <c r="I8" s="11">
        <v>476</v>
      </c>
      <c r="J8" s="24">
        <f>I8</f>
        <v>476</v>
      </c>
      <c r="K8" s="27" t="s">
        <v>64</v>
      </c>
      <c r="L8" s="34">
        <v>476</v>
      </c>
      <c r="M8" s="29"/>
      <c r="N8" s="29"/>
      <c r="O8" s="45">
        <v>1244.558</v>
      </c>
      <c r="P8" s="36">
        <f>O8*M2</f>
        <v>5476.0552000000007</v>
      </c>
      <c r="Q8" s="52">
        <f>O8-I8</f>
        <v>768.55799999999999</v>
      </c>
      <c r="R8" s="28"/>
      <c r="S8" s="16">
        <f>-(Q8*M2)</f>
        <v>-3381.6552000000001</v>
      </c>
    </row>
    <row r="9" spans="1:19" ht="39.75" hidden="1" customHeight="1" x14ac:dyDescent="0.25">
      <c r="A9" s="18">
        <v>44866</v>
      </c>
      <c r="B9" s="10">
        <v>4689.3</v>
      </c>
      <c r="C9" s="10">
        <v>1555.7</v>
      </c>
      <c r="D9" s="19" t="s">
        <v>34</v>
      </c>
      <c r="E9" s="10" t="s">
        <v>23</v>
      </c>
      <c r="F9" s="4">
        <v>10262</v>
      </c>
      <c r="G9" s="4">
        <f>9226+199+75</f>
        <v>9500</v>
      </c>
      <c r="H9" s="4">
        <f t="shared" si="0"/>
        <v>54</v>
      </c>
      <c r="I9" s="11">
        <v>708</v>
      </c>
      <c r="J9" s="24">
        <f>I9</f>
        <v>708</v>
      </c>
      <c r="K9" s="27" t="s">
        <v>66</v>
      </c>
      <c r="L9" s="34">
        <v>708</v>
      </c>
      <c r="M9" s="28"/>
      <c r="N9" s="28"/>
      <c r="O9" s="45">
        <v>1244.558</v>
      </c>
      <c r="P9" s="38">
        <f>O9*M2</f>
        <v>5476.0552000000007</v>
      </c>
      <c r="Q9" s="52">
        <f>O9-L9</f>
        <v>536.55799999999999</v>
      </c>
      <c r="R9" s="28"/>
      <c r="S9" s="16">
        <f>-(Q9*M2)</f>
        <v>-2360.8552</v>
      </c>
    </row>
    <row r="10" spans="1:19" ht="39.75" hidden="1" customHeight="1" x14ac:dyDescent="0.25">
      <c r="A10" s="18">
        <v>44896</v>
      </c>
      <c r="B10" s="4">
        <v>4689.3</v>
      </c>
      <c r="C10" s="4">
        <v>1555.7</v>
      </c>
      <c r="D10" s="19" t="s">
        <v>34</v>
      </c>
      <c r="E10" s="4" t="s">
        <v>23</v>
      </c>
      <c r="F10" s="4">
        <f>9695</f>
        <v>9695</v>
      </c>
      <c r="G10" s="4">
        <f>9966+165+61</f>
        <v>10192</v>
      </c>
      <c r="H10" s="4">
        <f t="shared" si="0"/>
        <v>54</v>
      </c>
      <c r="I10" s="6">
        <f t="shared" ref="I10:I22" si="1">F10-(G10+H10)</f>
        <v>-551</v>
      </c>
      <c r="J10" s="24">
        <f>I10</f>
        <v>-551</v>
      </c>
      <c r="K10" s="27" t="s">
        <v>67</v>
      </c>
      <c r="L10" s="34">
        <v>0</v>
      </c>
      <c r="M10" s="28"/>
      <c r="N10" s="28"/>
      <c r="O10" s="46">
        <v>1244.558</v>
      </c>
      <c r="P10" s="38">
        <f>O10*M3</f>
        <v>5961.43282</v>
      </c>
      <c r="Q10" s="52">
        <f>O10</f>
        <v>1244.558</v>
      </c>
      <c r="R10" s="28"/>
      <c r="S10" s="16">
        <f>-(Q10*M3)</f>
        <v>-5961.43282</v>
      </c>
    </row>
    <row r="11" spans="1:19" ht="31.5" hidden="1" customHeight="1" x14ac:dyDescent="0.25">
      <c r="A11" s="57">
        <v>44927</v>
      </c>
      <c r="B11" s="58">
        <v>4689.3</v>
      </c>
      <c r="C11" s="58">
        <v>1555.7</v>
      </c>
      <c r="D11" s="59" t="s">
        <v>34</v>
      </c>
      <c r="E11" s="58" t="s">
        <v>23</v>
      </c>
      <c r="F11" s="60">
        <v>10733.2</v>
      </c>
      <c r="G11" s="60">
        <f>10327+250+107</f>
        <v>10684</v>
      </c>
      <c r="H11" s="60">
        <f t="shared" si="0"/>
        <v>54</v>
      </c>
      <c r="I11" s="60">
        <f t="shared" si="1"/>
        <v>-4.7999999999992724</v>
      </c>
      <c r="J11" s="61">
        <f>I11+5</f>
        <v>0.2000000000007276</v>
      </c>
      <c r="K11" s="80" t="s">
        <v>76</v>
      </c>
      <c r="L11" s="62">
        <v>0</v>
      </c>
      <c r="M11" s="63"/>
      <c r="N11" s="63"/>
      <c r="O11" s="64">
        <v>1244.558</v>
      </c>
      <c r="P11" s="65">
        <f>O11*M3</f>
        <v>5961.43282</v>
      </c>
      <c r="Q11" s="66">
        <f>L11-O11</f>
        <v>-1244.558</v>
      </c>
      <c r="R11" s="66"/>
      <c r="S11" s="67">
        <f>Q11*M3</f>
        <v>-5961.43282</v>
      </c>
    </row>
    <row r="12" spans="1:19" ht="31.5" hidden="1" customHeight="1" x14ac:dyDescent="0.25">
      <c r="A12" s="57">
        <v>44958</v>
      </c>
      <c r="B12" s="58">
        <v>4689.3</v>
      </c>
      <c r="C12" s="58">
        <v>1555.7</v>
      </c>
      <c r="D12" s="59" t="s">
        <v>34</v>
      </c>
      <c r="E12" s="58" t="s">
        <v>23</v>
      </c>
      <c r="F12" s="60">
        <v>7325.52</v>
      </c>
      <c r="G12" s="60">
        <f>6925+114+30</f>
        <v>7069</v>
      </c>
      <c r="H12" s="60">
        <f t="shared" si="0"/>
        <v>54</v>
      </c>
      <c r="I12" s="60">
        <f t="shared" si="1"/>
        <v>202.52000000000044</v>
      </c>
      <c r="J12" s="61">
        <f>I12-203</f>
        <v>-0.47999999999956344</v>
      </c>
      <c r="K12" s="80"/>
      <c r="L12" s="62">
        <v>0</v>
      </c>
      <c r="M12" s="63"/>
      <c r="N12" s="63"/>
      <c r="O12" s="64">
        <v>1244.558</v>
      </c>
      <c r="P12" s="65">
        <f>O12*M3</f>
        <v>5961.43282</v>
      </c>
      <c r="Q12" s="66">
        <f>L12-O12</f>
        <v>-1244.558</v>
      </c>
      <c r="R12" s="66"/>
      <c r="S12" s="67">
        <f>Q12*M3</f>
        <v>-5961.43282</v>
      </c>
    </row>
    <row r="13" spans="1:19" ht="31.5" hidden="1" customHeight="1" x14ac:dyDescent="0.25">
      <c r="A13" s="57">
        <v>44986</v>
      </c>
      <c r="B13" s="58">
        <v>4689.3</v>
      </c>
      <c r="C13" s="58">
        <v>1555.7</v>
      </c>
      <c r="D13" s="59" t="s">
        <v>34</v>
      </c>
      <c r="E13" s="58" t="s">
        <v>23</v>
      </c>
      <c r="F13" s="60">
        <v>11294.4</v>
      </c>
      <c r="G13" s="60">
        <f>9112+178+68</f>
        <v>9358</v>
      </c>
      <c r="H13" s="60">
        <f t="shared" si="0"/>
        <v>54</v>
      </c>
      <c r="I13" s="60">
        <f t="shared" si="1"/>
        <v>1882.3999999999996</v>
      </c>
      <c r="J13" s="61">
        <f>I13-353</f>
        <v>1529.3999999999996</v>
      </c>
      <c r="K13" s="80" t="s">
        <v>77</v>
      </c>
      <c r="L13" s="62">
        <f>J13</f>
        <v>1529.3999999999996</v>
      </c>
      <c r="M13" s="63"/>
      <c r="N13" s="63"/>
      <c r="O13" s="64">
        <v>1244.558</v>
      </c>
      <c r="P13" s="65">
        <f>O13*M3</f>
        <v>5961.43282</v>
      </c>
      <c r="Q13" s="66"/>
      <c r="R13" s="66">
        <f>L13-O13</f>
        <v>284.84199999999964</v>
      </c>
      <c r="S13" s="67">
        <f>R13*M3</f>
        <v>1364.3931799999982</v>
      </c>
    </row>
    <row r="14" spans="1:19" ht="31.5" hidden="1" customHeight="1" x14ac:dyDescent="0.25">
      <c r="A14" s="57">
        <v>45017</v>
      </c>
      <c r="B14" s="58">
        <v>4689.3</v>
      </c>
      <c r="C14" s="58">
        <v>1555.7</v>
      </c>
      <c r="D14" s="59" t="s">
        <v>34</v>
      </c>
      <c r="E14" s="58" t="s">
        <v>23</v>
      </c>
      <c r="F14" s="60">
        <v>9053.52</v>
      </c>
      <c r="G14" s="60">
        <f>8573+236+64</f>
        <v>8873</v>
      </c>
      <c r="H14" s="60">
        <f t="shared" si="0"/>
        <v>54</v>
      </c>
      <c r="I14" s="60">
        <f t="shared" si="1"/>
        <v>126.52000000000044</v>
      </c>
      <c r="J14" s="61">
        <f t="shared" ref="J14:J22" si="2">I14</f>
        <v>126.52000000000044</v>
      </c>
      <c r="K14" s="80" t="s">
        <v>78</v>
      </c>
      <c r="L14" s="62">
        <f>J14</f>
        <v>126.52000000000044</v>
      </c>
      <c r="M14" s="63"/>
      <c r="N14" s="63"/>
      <c r="O14" s="64">
        <v>1244.558</v>
      </c>
      <c r="P14" s="65">
        <f>O14*M3</f>
        <v>5961.43282</v>
      </c>
      <c r="Q14" s="66">
        <f t="shared" ref="Q14:Q22" si="3">L14-O14</f>
        <v>-1118.0379999999996</v>
      </c>
      <c r="R14" s="66"/>
      <c r="S14" s="67">
        <f>Q14*M3</f>
        <v>-5355.4020199999977</v>
      </c>
    </row>
    <row r="15" spans="1:19" ht="31.5" hidden="1" customHeight="1" x14ac:dyDescent="0.25">
      <c r="A15" s="57">
        <v>45047</v>
      </c>
      <c r="B15" s="58">
        <v>4689.3</v>
      </c>
      <c r="C15" s="58">
        <v>1555.7</v>
      </c>
      <c r="D15" s="59" t="s">
        <v>34</v>
      </c>
      <c r="E15" s="58" t="s">
        <v>23</v>
      </c>
      <c r="F15" s="60">
        <v>11113.68</v>
      </c>
      <c r="G15" s="60">
        <f>11175+254+133</f>
        <v>11562</v>
      </c>
      <c r="H15" s="60">
        <f t="shared" ref="H15:H22" si="4">10+14+15+15</f>
        <v>54</v>
      </c>
      <c r="I15" s="60">
        <f t="shared" si="1"/>
        <v>-502.31999999999971</v>
      </c>
      <c r="J15" s="61">
        <f t="shared" si="2"/>
        <v>-502.31999999999971</v>
      </c>
      <c r="K15" s="80" t="s">
        <v>79</v>
      </c>
      <c r="L15" s="62">
        <v>0</v>
      </c>
      <c r="M15" s="63"/>
      <c r="N15" s="63"/>
      <c r="O15" s="64">
        <v>1244.558</v>
      </c>
      <c r="P15" s="65">
        <f>O15*M3</f>
        <v>5961.43282</v>
      </c>
      <c r="Q15" s="66">
        <f t="shared" si="3"/>
        <v>-1244.558</v>
      </c>
      <c r="R15" s="66"/>
      <c r="S15" s="67">
        <f>Q15*M3</f>
        <v>-5961.43282</v>
      </c>
    </row>
    <row r="16" spans="1:19" ht="31.5" hidden="1" customHeight="1" x14ac:dyDescent="0.25">
      <c r="A16" s="57">
        <v>45078</v>
      </c>
      <c r="B16" s="58">
        <v>4689.3</v>
      </c>
      <c r="C16" s="58">
        <v>1555.7</v>
      </c>
      <c r="D16" s="59" t="s">
        <v>34</v>
      </c>
      <c r="E16" s="58" t="s">
        <v>23</v>
      </c>
      <c r="F16" s="60">
        <v>9977.76</v>
      </c>
      <c r="G16" s="60">
        <f>8098+217+72</f>
        <v>8387</v>
      </c>
      <c r="H16" s="60">
        <f t="shared" si="4"/>
        <v>54</v>
      </c>
      <c r="I16" s="60">
        <f t="shared" si="1"/>
        <v>1536.7600000000002</v>
      </c>
      <c r="J16" s="61">
        <f>I16+J15</f>
        <v>1034.4400000000005</v>
      </c>
      <c r="K16" s="80" t="s">
        <v>80</v>
      </c>
      <c r="L16" s="62">
        <f>J16</f>
        <v>1034.4400000000005</v>
      </c>
      <c r="M16" s="63"/>
      <c r="N16" s="63"/>
      <c r="O16" s="64">
        <v>1244.558</v>
      </c>
      <c r="P16" s="65">
        <f>O16*M3</f>
        <v>5961.43282</v>
      </c>
      <c r="Q16" s="66">
        <f t="shared" si="3"/>
        <v>-210.11799999999948</v>
      </c>
      <c r="R16" s="66"/>
      <c r="S16" s="67">
        <f>Q16*M3</f>
        <v>-1006.4652199999975</v>
      </c>
    </row>
    <row r="17" spans="1:19" ht="31.5" hidden="1" customHeight="1" x14ac:dyDescent="0.25">
      <c r="A17" s="57">
        <v>45108</v>
      </c>
      <c r="B17" s="58">
        <v>4689.3</v>
      </c>
      <c r="C17" s="58">
        <v>1555.7</v>
      </c>
      <c r="D17" s="59" t="s">
        <v>34</v>
      </c>
      <c r="E17" s="58" t="s">
        <v>23</v>
      </c>
      <c r="F17" s="60">
        <v>7953.44</v>
      </c>
      <c r="G17" s="60">
        <f>9749+217+68</f>
        <v>10034</v>
      </c>
      <c r="H17" s="60">
        <f t="shared" si="4"/>
        <v>54</v>
      </c>
      <c r="I17" s="60">
        <f t="shared" si="1"/>
        <v>-2134.5600000000004</v>
      </c>
      <c r="J17" s="61">
        <f t="shared" si="2"/>
        <v>-2134.5600000000004</v>
      </c>
      <c r="K17" s="80" t="s">
        <v>81</v>
      </c>
      <c r="L17" s="62">
        <v>0</v>
      </c>
      <c r="M17" s="63"/>
      <c r="N17" s="63"/>
      <c r="O17" s="64">
        <v>1244.558</v>
      </c>
      <c r="P17" s="65">
        <f>O17*M3</f>
        <v>5961.43282</v>
      </c>
      <c r="Q17" s="66">
        <f t="shared" si="3"/>
        <v>-1244.558</v>
      </c>
      <c r="R17" s="66"/>
      <c r="S17" s="67">
        <f>Q17*M3</f>
        <v>-5961.43282</v>
      </c>
    </row>
    <row r="18" spans="1:19" ht="31.5" hidden="1" customHeight="1" x14ac:dyDescent="0.25">
      <c r="A18" s="57">
        <v>45139</v>
      </c>
      <c r="B18" s="58">
        <v>4689.3</v>
      </c>
      <c r="C18" s="58">
        <v>1555.7</v>
      </c>
      <c r="D18" s="59" t="s">
        <v>34</v>
      </c>
      <c r="E18" s="58" t="s">
        <v>23</v>
      </c>
      <c r="F18" s="60">
        <v>9641.0400000000009</v>
      </c>
      <c r="G18" s="60">
        <f>6661+221+83</f>
        <v>6965</v>
      </c>
      <c r="H18" s="60">
        <f t="shared" si="4"/>
        <v>54</v>
      </c>
      <c r="I18" s="60">
        <f t="shared" si="1"/>
        <v>2622.0400000000009</v>
      </c>
      <c r="J18" s="61">
        <f>I18+J17</f>
        <v>487.48000000000047</v>
      </c>
      <c r="K18" s="80" t="s">
        <v>82</v>
      </c>
      <c r="L18" s="62">
        <f>J18</f>
        <v>487.48000000000047</v>
      </c>
      <c r="M18" s="63"/>
      <c r="N18" s="63"/>
      <c r="O18" s="64">
        <v>1244.558</v>
      </c>
      <c r="P18" s="65">
        <f>O18*M3</f>
        <v>5961.43282</v>
      </c>
      <c r="Q18" s="66">
        <f t="shared" si="3"/>
        <v>-757.07799999999952</v>
      </c>
      <c r="R18" s="66"/>
      <c r="S18" s="67">
        <f>Q18*M3</f>
        <v>-3626.4036199999978</v>
      </c>
    </row>
    <row r="19" spans="1:19" ht="31.5" hidden="1" customHeight="1" x14ac:dyDescent="0.25">
      <c r="A19" s="57">
        <v>45170</v>
      </c>
      <c r="B19" s="58">
        <v>4689.3</v>
      </c>
      <c r="C19" s="58">
        <v>1555.7</v>
      </c>
      <c r="D19" s="59" t="s">
        <v>34</v>
      </c>
      <c r="E19" s="58" t="s">
        <v>23</v>
      </c>
      <c r="F19" s="60">
        <v>9520.64</v>
      </c>
      <c r="G19" s="60">
        <f>9110+198+82</f>
        <v>9390</v>
      </c>
      <c r="H19" s="60">
        <f t="shared" si="4"/>
        <v>54</v>
      </c>
      <c r="I19" s="60">
        <f t="shared" si="1"/>
        <v>76.639999999999418</v>
      </c>
      <c r="J19" s="61">
        <f t="shared" si="2"/>
        <v>76.639999999999418</v>
      </c>
      <c r="K19" s="80" t="s">
        <v>83</v>
      </c>
      <c r="L19" s="62">
        <v>0</v>
      </c>
      <c r="M19" s="63"/>
      <c r="N19" s="63"/>
      <c r="O19" s="64">
        <v>1244.558</v>
      </c>
      <c r="P19" s="65">
        <f>O19*M3</f>
        <v>5961.43282</v>
      </c>
      <c r="Q19" s="66">
        <f t="shared" si="3"/>
        <v>-1244.558</v>
      </c>
      <c r="R19" s="66"/>
      <c r="S19" s="67">
        <f>Q19*M3</f>
        <v>-5961.43282</v>
      </c>
    </row>
    <row r="20" spans="1:19" ht="31.5" hidden="1" customHeight="1" x14ac:dyDescent="0.25">
      <c r="A20" s="57">
        <v>45200</v>
      </c>
      <c r="B20" s="58">
        <v>4689.3</v>
      </c>
      <c r="C20" s="58">
        <v>1555.7</v>
      </c>
      <c r="D20" s="59" t="s">
        <v>34</v>
      </c>
      <c r="E20" s="58" t="s">
        <v>23</v>
      </c>
      <c r="F20" s="60">
        <v>10475.200000000001</v>
      </c>
      <c r="G20" s="60">
        <f>9080+232+109</f>
        <v>9421</v>
      </c>
      <c r="H20" s="60">
        <f t="shared" si="4"/>
        <v>54</v>
      </c>
      <c r="I20" s="60">
        <f t="shared" si="1"/>
        <v>1000.2000000000007</v>
      </c>
      <c r="J20" s="61">
        <f t="shared" si="2"/>
        <v>1000.2000000000007</v>
      </c>
      <c r="K20" s="80" t="s">
        <v>84</v>
      </c>
      <c r="L20" s="62">
        <v>0</v>
      </c>
      <c r="M20" s="63"/>
      <c r="N20" s="63"/>
      <c r="O20" s="64">
        <v>1244.558</v>
      </c>
      <c r="P20" s="65">
        <f>O20*M3</f>
        <v>5961.43282</v>
      </c>
      <c r="Q20" s="66">
        <f t="shared" si="3"/>
        <v>-1244.558</v>
      </c>
      <c r="R20" s="66"/>
      <c r="S20" s="67">
        <f>S17+S18</f>
        <v>-9587.8364399999973</v>
      </c>
    </row>
    <row r="21" spans="1:19" ht="31.5" hidden="1" customHeight="1" x14ac:dyDescent="0.25">
      <c r="A21" s="57">
        <v>45231</v>
      </c>
      <c r="B21" s="58">
        <v>4689.3</v>
      </c>
      <c r="C21" s="58">
        <v>1555.7</v>
      </c>
      <c r="D21" s="59" t="s">
        <v>34</v>
      </c>
      <c r="E21" s="58" t="s">
        <v>23</v>
      </c>
      <c r="F21" s="60">
        <v>9693.92</v>
      </c>
      <c r="G21" s="60">
        <f>8863+192+61</f>
        <v>9116</v>
      </c>
      <c r="H21" s="60">
        <f t="shared" si="4"/>
        <v>54</v>
      </c>
      <c r="I21" s="60">
        <f t="shared" si="1"/>
        <v>523.92000000000007</v>
      </c>
      <c r="J21" s="61">
        <f t="shared" si="2"/>
        <v>523.92000000000007</v>
      </c>
      <c r="K21" s="80" t="s">
        <v>85</v>
      </c>
      <c r="L21" s="62">
        <v>0</v>
      </c>
      <c r="M21" s="63"/>
      <c r="N21" s="63"/>
      <c r="O21" s="64">
        <v>1244.558</v>
      </c>
      <c r="P21" s="65">
        <f>O21*M3</f>
        <v>5961.43282</v>
      </c>
      <c r="Q21" s="66">
        <f t="shared" si="3"/>
        <v>-1244.558</v>
      </c>
      <c r="R21" s="66"/>
      <c r="S21" s="67">
        <f>Q21*M3</f>
        <v>-5961.43282</v>
      </c>
    </row>
    <row r="22" spans="1:19" ht="31.5" hidden="1" customHeight="1" x14ac:dyDescent="0.25">
      <c r="A22" s="57">
        <v>45261</v>
      </c>
      <c r="B22" s="58">
        <v>4689.3</v>
      </c>
      <c r="C22" s="58">
        <v>1555.7</v>
      </c>
      <c r="D22" s="59" t="s">
        <v>34</v>
      </c>
      <c r="E22" s="58" t="s">
        <v>23</v>
      </c>
      <c r="F22" s="60">
        <v>9078.9599999999991</v>
      </c>
      <c r="G22" s="60">
        <f>9005+208+59</f>
        <v>9272</v>
      </c>
      <c r="H22" s="60">
        <f t="shared" si="4"/>
        <v>54</v>
      </c>
      <c r="I22" s="60">
        <f t="shared" si="1"/>
        <v>-247.04000000000087</v>
      </c>
      <c r="J22" s="61">
        <f t="shared" si="2"/>
        <v>-247.04000000000087</v>
      </c>
      <c r="K22" s="81" t="s">
        <v>86</v>
      </c>
      <c r="L22" s="62">
        <v>0</v>
      </c>
      <c r="M22" s="63"/>
      <c r="N22" s="63"/>
      <c r="O22" s="64">
        <v>1244.558</v>
      </c>
      <c r="P22" s="65">
        <f>O22*M3</f>
        <v>5961.43282</v>
      </c>
      <c r="Q22" s="66">
        <f t="shared" si="3"/>
        <v>-1244.558</v>
      </c>
      <c r="R22" s="66"/>
      <c r="S22" s="67">
        <f>Q22*M3</f>
        <v>-5961.43282</v>
      </c>
    </row>
    <row r="23" spans="1:19" s="20" customFormat="1" ht="31.5" hidden="1" customHeight="1" x14ac:dyDescent="0.25">
      <c r="A23" s="75"/>
      <c r="L23" s="20">
        <f>SUM(L11:L22)</f>
        <v>3177.8400000000011</v>
      </c>
      <c r="O23" s="20">
        <f>SUM(O11:O22)</f>
        <v>14934.696000000004</v>
      </c>
      <c r="P23" s="20">
        <f>SUM(P11:P22)</f>
        <v>71537.193840000007</v>
      </c>
      <c r="R23" s="20">
        <f>SUM(Q11:R22)</f>
        <v>-11756.856</v>
      </c>
      <c r="S23" s="20">
        <f>SUM(S11:S22)</f>
        <v>-59941.743860000002</v>
      </c>
    </row>
    <row r="24" spans="1:19" s="20" customFormat="1" ht="31.5" hidden="1" customHeight="1" x14ac:dyDescent="0.25">
      <c r="A24" s="75"/>
      <c r="L24" s="20">
        <f>L23*M3</f>
        <v>15221.853600000006</v>
      </c>
    </row>
    <row r="25" spans="1:19" s="20" customFormat="1" ht="15.75" hidden="1" customHeight="1" x14ac:dyDescent="0.25">
      <c r="A25" s="75"/>
    </row>
    <row r="26" spans="1:19" ht="15.75" hidden="1" customHeight="1" x14ac:dyDescent="0.25"/>
    <row r="27" spans="1:19" ht="31.5" hidden="1" customHeight="1" x14ac:dyDescent="0.25">
      <c r="A27" s="57">
        <v>45292</v>
      </c>
      <c r="B27" s="58">
        <v>4689.3</v>
      </c>
      <c r="C27" s="58">
        <v>1555.7</v>
      </c>
      <c r="D27" s="59" t="s">
        <v>34</v>
      </c>
      <c r="E27" s="58" t="s">
        <v>23</v>
      </c>
      <c r="F27" s="60">
        <v>10900</v>
      </c>
      <c r="G27" s="60">
        <f>9623+186+72</f>
        <v>9881</v>
      </c>
      <c r="H27" s="60">
        <f t="shared" ref="H27:H32" si="5">10+14+15+15</f>
        <v>54</v>
      </c>
      <c r="I27" s="60">
        <f t="shared" ref="I27:I38" si="6">F27-(G27+H27)</f>
        <v>965</v>
      </c>
      <c r="J27" s="61">
        <f>I27-247</f>
        <v>718</v>
      </c>
      <c r="K27" s="81" t="s">
        <v>87</v>
      </c>
      <c r="L27" s="62">
        <f>J27</f>
        <v>718</v>
      </c>
      <c r="M27" s="63"/>
      <c r="N27" s="63"/>
      <c r="O27" s="64">
        <v>1244.558</v>
      </c>
      <c r="P27" s="65">
        <f>O27*O2</f>
        <v>5961.43282</v>
      </c>
      <c r="Q27" s="66">
        <f>L27-O27</f>
        <v>-526.55799999999999</v>
      </c>
      <c r="R27" s="66"/>
      <c r="S27" s="67">
        <f>Q27*O2</f>
        <v>-2522.2128200000002</v>
      </c>
    </row>
    <row r="28" spans="1:19" ht="31.5" hidden="1" customHeight="1" x14ac:dyDescent="0.25">
      <c r="A28" s="57">
        <v>45323</v>
      </c>
      <c r="B28" s="58">
        <v>4689.3</v>
      </c>
      <c r="C28" s="58">
        <v>1555.7</v>
      </c>
      <c r="D28" s="59" t="s">
        <v>34</v>
      </c>
      <c r="E28" s="58" t="s">
        <v>23</v>
      </c>
      <c r="F28" s="60">
        <v>9468</v>
      </c>
      <c r="G28" s="60">
        <f>9130+206+77</f>
        <v>9413</v>
      </c>
      <c r="H28" s="60">
        <f t="shared" si="5"/>
        <v>54</v>
      </c>
      <c r="I28" s="60">
        <f t="shared" si="6"/>
        <v>1</v>
      </c>
      <c r="J28" s="61">
        <f t="shared" ref="J28:J34" si="7">I28</f>
        <v>1</v>
      </c>
      <c r="K28" s="82" t="s">
        <v>88</v>
      </c>
      <c r="L28" s="62">
        <f>J28</f>
        <v>1</v>
      </c>
      <c r="M28" s="63"/>
      <c r="N28" s="63"/>
      <c r="O28" s="64">
        <v>1244.558</v>
      </c>
      <c r="P28" s="65">
        <f>O28*O2</f>
        <v>5961.43282</v>
      </c>
      <c r="Q28" s="66">
        <f>L28-O28</f>
        <v>-1243.558</v>
      </c>
      <c r="R28" s="66"/>
      <c r="S28" s="67">
        <f>Q28*O2</f>
        <v>-5956.64282</v>
      </c>
    </row>
    <row r="29" spans="1:19" ht="31.5" hidden="1" customHeight="1" x14ac:dyDescent="0.25">
      <c r="A29" s="57">
        <v>45352</v>
      </c>
      <c r="B29" s="58">
        <v>4689.3</v>
      </c>
      <c r="C29" s="58">
        <v>1555.7</v>
      </c>
      <c r="D29" s="59" t="s">
        <v>34</v>
      </c>
      <c r="E29" s="58" t="s">
        <v>23</v>
      </c>
      <c r="F29" s="60">
        <v>9181</v>
      </c>
      <c r="G29" s="60">
        <f>8572+192+54</f>
        <v>8818</v>
      </c>
      <c r="H29" s="60">
        <f t="shared" si="5"/>
        <v>54</v>
      </c>
      <c r="I29" s="60">
        <f>F29-(G29+H29)</f>
        <v>309</v>
      </c>
      <c r="J29" s="61">
        <f t="shared" si="7"/>
        <v>309</v>
      </c>
      <c r="K29" s="80" t="s">
        <v>89</v>
      </c>
      <c r="L29" s="62">
        <f>J29</f>
        <v>309</v>
      </c>
      <c r="M29" s="63"/>
      <c r="N29" s="63"/>
      <c r="O29" s="64">
        <v>1244.558</v>
      </c>
      <c r="P29" s="65">
        <f>O29*O2</f>
        <v>5961.43282</v>
      </c>
      <c r="Q29" s="66">
        <f>L29-O29</f>
        <v>-935.55799999999999</v>
      </c>
      <c r="R29" s="66"/>
      <c r="S29" s="67">
        <f>Q29*O2</f>
        <v>-4481.3228200000003</v>
      </c>
    </row>
    <row r="30" spans="1:19" ht="31.5" hidden="1" customHeight="1" x14ac:dyDescent="0.25">
      <c r="A30" s="57">
        <v>45383</v>
      </c>
      <c r="B30" s="58">
        <v>4689.3</v>
      </c>
      <c r="C30" s="58">
        <v>1555.7</v>
      </c>
      <c r="D30" s="59" t="s">
        <v>34</v>
      </c>
      <c r="E30" s="58" t="s">
        <v>23</v>
      </c>
      <c r="F30" s="60">
        <v>9799</v>
      </c>
      <c r="G30" s="60">
        <f>8605+195+68</f>
        <v>8868</v>
      </c>
      <c r="H30" s="60">
        <f t="shared" si="5"/>
        <v>54</v>
      </c>
      <c r="I30" s="60">
        <f>F30-(G30+H30)</f>
        <v>877</v>
      </c>
      <c r="J30" s="61">
        <f t="shared" si="7"/>
        <v>877</v>
      </c>
      <c r="K30" s="80" t="s">
        <v>90</v>
      </c>
      <c r="L30" s="62">
        <f>J30</f>
        <v>877</v>
      </c>
      <c r="M30" s="63"/>
      <c r="N30" s="63"/>
      <c r="O30" s="64">
        <v>1244.558</v>
      </c>
      <c r="P30" s="65">
        <f>O30*O2</f>
        <v>5961.43282</v>
      </c>
      <c r="Q30" s="66">
        <f t="shared" ref="Q30:Q38" si="8">L30-O30</f>
        <v>-367.55799999999999</v>
      </c>
      <c r="R30" s="66"/>
      <c r="S30" s="67">
        <f>Q30*O2</f>
        <v>-1760.6028200000001</v>
      </c>
    </row>
    <row r="31" spans="1:19" ht="31.5" hidden="1" customHeight="1" x14ac:dyDescent="0.25">
      <c r="A31" s="57">
        <v>45413</v>
      </c>
      <c r="B31" s="58">
        <v>4689.3</v>
      </c>
      <c r="C31" s="58">
        <v>1555.7</v>
      </c>
      <c r="D31" s="59" t="s">
        <v>34</v>
      </c>
      <c r="E31" s="58" t="s">
        <v>23</v>
      </c>
      <c r="F31" s="60">
        <v>8378</v>
      </c>
      <c r="G31" s="60">
        <f>8611+205+73</f>
        <v>8889</v>
      </c>
      <c r="H31" s="60">
        <f t="shared" si="5"/>
        <v>54</v>
      </c>
      <c r="I31" s="60">
        <f>F31-(G31+H31)</f>
        <v>-565</v>
      </c>
      <c r="J31" s="61">
        <f t="shared" si="7"/>
        <v>-565</v>
      </c>
      <c r="K31" s="80" t="s">
        <v>91</v>
      </c>
      <c r="L31" s="62">
        <v>0</v>
      </c>
      <c r="M31" s="63"/>
      <c r="N31" s="63"/>
      <c r="O31" s="64">
        <v>1244.558</v>
      </c>
      <c r="P31" s="65">
        <f>O31*O2</f>
        <v>5961.43282</v>
      </c>
      <c r="Q31" s="66">
        <f t="shared" si="8"/>
        <v>-1244.558</v>
      </c>
      <c r="R31" s="66"/>
      <c r="S31" s="67">
        <f>Q31*O2</f>
        <v>-5961.43282</v>
      </c>
    </row>
    <row r="32" spans="1:19" ht="31.5" hidden="1" customHeight="1" x14ac:dyDescent="0.25">
      <c r="A32" s="57">
        <v>45444</v>
      </c>
      <c r="B32" s="58">
        <v>4689.3</v>
      </c>
      <c r="C32" s="58">
        <v>1555.7</v>
      </c>
      <c r="D32" s="59" t="s">
        <v>34</v>
      </c>
      <c r="E32" s="58" t="s">
        <v>23</v>
      </c>
      <c r="F32" s="60">
        <v>9721</v>
      </c>
      <c r="G32" s="60">
        <f>8665+209+85</f>
        <v>8959</v>
      </c>
      <c r="H32" s="60">
        <f t="shared" si="5"/>
        <v>54</v>
      </c>
      <c r="I32" s="60">
        <f>F32-(G32+H32)</f>
        <v>708</v>
      </c>
      <c r="J32" s="61">
        <f t="shared" si="7"/>
        <v>708</v>
      </c>
      <c r="K32" s="80" t="s">
        <v>92</v>
      </c>
      <c r="L32" s="62">
        <f>J32</f>
        <v>708</v>
      </c>
      <c r="M32" s="63"/>
      <c r="N32" s="63"/>
      <c r="O32" s="64">
        <v>1244.558</v>
      </c>
      <c r="P32" s="65">
        <f>O32*O2</f>
        <v>5961.43282</v>
      </c>
      <c r="Q32" s="66">
        <f t="shared" si="8"/>
        <v>-536.55799999999999</v>
      </c>
      <c r="R32" s="66"/>
      <c r="S32" s="67">
        <f>Q32*O2</f>
        <v>-2570.1128199999998</v>
      </c>
    </row>
    <row r="33" spans="1:19" ht="31.5" hidden="1" customHeight="1" x14ac:dyDescent="0.25">
      <c r="A33" s="57">
        <v>45474</v>
      </c>
      <c r="B33" s="58">
        <v>4689.3</v>
      </c>
      <c r="C33" s="58">
        <v>1555.7</v>
      </c>
      <c r="D33" s="59" t="s">
        <v>34</v>
      </c>
      <c r="E33" s="58" t="s">
        <v>23</v>
      </c>
      <c r="F33" s="60">
        <v>9047</v>
      </c>
      <c r="G33" s="60">
        <f>7581+160+56</f>
        <v>7797</v>
      </c>
      <c r="H33" s="60">
        <f t="shared" ref="H33:H38" si="9">10+14+15+15</f>
        <v>54</v>
      </c>
      <c r="I33" s="60">
        <f>F33-(G33+H33)</f>
        <v>1196</v>
      </c>
      <c r="J33" s="61">
        <f t="shared" si="7"/>
        <v>1196</v>
      </c>
      <c r="K33" s="80" t="s">
        <v>93</v>
      </c>
      <c r="L33" s="62">
        <f>J33</f>
        <v>1196</v>
      </c>
      <c r="M33" s="63"/>
      <c r="N33" s="63"/>
      <c r="O33" s="64">
        <v>1244.558</v>
      </c>
      <c r="P33" s="65">
        <f>O33*O3</f>
        <v>6484.1471799999999</v>
      </c>
      <c r="Q33" s="66">
        <f t="shared" si="8"/>
        <v>-48.557999999999993</v>
      </c>
      <c r="R33" s="66"/>
      <c r="S33" s="67">
        <f>Q33*O3</f>
        <v>-252.98717999999997</v>
      </c>
    </row>
    <row r="34" spans="1:19" ht="31.5" hidden="1" customHeight="1" x14ac:dyDescent="0.25">
      <c r="A34" s="57">
        <v>45505</v>
      </c>
      <c r="B34" s="58">
        <v>4689.3</v>
      </c>
      <c r="C34" s="58">
        <v>1555.7</v>
      </c>
      <c r="D34" s="59" t="s">
        <v>34</v>
      </c>
      <c r="E34" s="58" t="s">
        <v>23</v>
      </c>
      <c r="F34" s="60">
        <v>9286</v>
      </c>
      <c r="G34" s="60">
        <f>8362+213+76</f>
        <v>8651</v>
      </c>
      <c r="H34" s="60">
        <f t="shared" si="9"/>
        <v>54</v>
      </c>
      <c r="I34" s="60">
        <f t="shared" si="6"/>
        <v>581</v>
      </c>
      <c r="J34" s="61">
        <f t="shared" si="7"/>
        <v>581</v>
      </c>
      <c r="K34" s="80" t="s">
        <v>94</v>
      </c>
      <c r="L34" s="62">
        <f>J34</f>
        <v>581</v>
      </c>
      <c r="M34" s="63"/>
      <c r="N34" s="63"/>
      <c r="O34" s="64">
        <v>1244.558</v>
      </c>
      <c r="P34" s="65">
        <f>O34*O3</f>
        <v>6484.1471799999999</v>
      </c>
      <c r="Q34" s="66">
        <f t="shared" si="8"/>
        <v>-663.55799999999999</v>
      </c>
      <c r="R34" s="66"/>
      <c r="S34" s="67">
        <f>Q34*O3</f>
        <v>-3457.1371799999997</v>
      </c>
    </row>
    <row r="35" spans="1:19" ht="31.5" hidden="1" customHeight="1" x14ac:dyDescent="0.25">
      <c r="A35" s="57">
        <v>45536</v>
      </c>
      <c r="B35" s="58">
        <v>4689.3</v>
      </c>
      <c r="C35" s="58">
        <v>1555.7</v>
      </c>
      <c r="D35" s="59" t="s">
        <v>34</v>
      </c>
      <c r="E35" s="58" t="s">
        <v>23</v>
      </c>
      <c r="F35" s="60">
        <v>8030</v>
      </c>
      <c r="G35" s="60">
        <f>8368+202+75</f>
        <v>8645</v>
      </c>
      <c r="H35" s="60">
        <f t="shared" si="9"/>
        <v>54</v>
      </c>
      <c r="I35" s="60">
        <f t="shared" si="6"/>
        <v>-669</v>
      </c>
      <c r="J35" s="61">
        <f t="shared" ref="J35:J38" si="10">I35</f>
        <v>-669</v>
      </c>
      <c r="K35" s="80" t="s">
        <v>95</v>
      </c>
      <c r="L35" s="62">
        <v>0</v>
      </c>
      <c r="M35" s="63"/>
      <c r="N35" s="63"/>
      <c r="O35" s="64">
        <v>1244.558</v>
      </c>
      <c r="P35" s="65">
        <f>O35*O3</f>
        <v>6484.1471799999999</v>
      </c>
      <c r="Q35" s="66">
        <f t="shared" si="8"/>
        <v>-1244.558</v>
      </c>
      <c r="R35" s="66"/>
      <c r="S35" s="67">
        <f>Q35*O3</f>
        <v>-6484.1471799999999</v>
      </c>
    </row>
    <row r="36" spans="1:19" ht="31.5" hidden="1" customHeight="1" x14ac:dyDescent="0.25">
      <c r="A36" s="57">
        <v>45566</v>
      </c>
      <c r="B36" s="58">
        <v>4689.3</v>
      </c>
      <c r="C36" s="58">
        <v>1555.7</v>
      </c>
      <c r="D36" s="59" t="s">
        <v>34</v>
      </c>
      <c r="E36" s="58" t="s">
        <v>23</v>
      </c>
      <c r="F36" s="60">
        <v>10343</v>
      </c>
      <c r="G36" s="60">
        <f>8292+184+75</f>
        <v>8551</v>
      </c>
      <c r="H36" s="60">
        <f t="shared" si="9"/>
        <v>54</v>
      </c>
      <c r="I36" s="60">
        <f t="shared" si="6"/>
        <v>1738</v>
      </c>
      <c r="J36" s="61">
        <f t="shared" si="10"/>
        <v>1738</v>
      </c>
      <c r="K36" s="80" t="s">
        <v>96</v>
      </c>
      <c r="L36" s="62">
        <f>J36</f>
        <v>1738</v>
      </c>
      <c r="M36" s="63"/>
      <c r="N36" s="63"/>
      <c r="O36" s="64">
        <v>1244.558</v>
      </c>
      <c r="P36" s="65">
        <f>O36*O3</f>
        <v>6484.1471799999999</v>
      </c>
      <c r="Q36" s="66"/>
      <c r="R36" s="66">
        <f>L36-O36</f>
        <v>493.44200000000001</v>
      </c>
      <c r="S36" s="67">
        <f>Q36*O3</f>
        <v>0</v>
      </c>
    </row>
    <row r="37" spans="1:19" ht="31.5" hidden="1" customHeight="1" x14ac:dyDescent="0.25">
      <c r="A37" s="57">
        <v>45597</v>
      </c>
      <c r="B37" s="58">
        <v>4689.3</v>
      </c>
      <c r="C37" s="58">
        <v>1555.7</v>
      </c>
      <c r="D37" s="59" t="s">
        <v>34</v>
      </c>
      <c r="E37" s="58" t="s">
        <v>23</v>
      </c>
      <c r="F37" s="60">
        <v>8870</v>
      </c>
      <c r="G37" s="60">
        <f>8882+212+68</f>
        <v>9162</v>
      </c>
      <c r="H37" s="60">
        <f t="shared" si="9"/>
        <v>54</v>
      </c>
      <c r="I37" s="60">
        <f t="shared" si="6"/>
        <v>-346</v>
      </c>
      <c r="J37" s="61">
        <f t="shared" si="10"/>
        <v>-346</v>
      </c>
      <c r="K37" s="80" t="s">
        <v>97</v>
      </c>
      <c r="L37" s="62">
        <v>0</v>
      </c>
      <c r="M37" s="63"/>
      <c r="N37" s="63"/>
      <c r="O37" s="64">
        <v>1244.558</v>
      </c>
      <c r="P37" s="65">
        <f>O37*O3</f>
        <v>6484.1471799999999</v>
      </c>
      <c r="Q37" s="66">
        <f t="shared" si="8"/>
        <v>-1244.558</v>
      </c>
      <c r="R37" s="66"/>
      <c r="S37" s="67">
        <f>Q37*O3</f>
        <v>-6484.1471799999999</v>
      </c>
    </row>
    <row r="38" spans="1:19" ht="31.5" hidden="1" customHeight="1" x14ac:dyDescent="0.25">
      <c r="A38" s="57">
        <v>45627</v>
      </c>
      <c r="B38" s="58">
        <v>4689.3</v>
      </c>
      <c r="C38" s="58">
        <v>1555.7</v>
      </c>
      <c r="D38" s="59" t="s">
        <v>34</v>
      </c>
      <c r="E38" s="58" t="s">
        <v>23</v>
      </c>
      <c r="F38" s="60">
        <v>9240</v>
      </c>
      <c r="G38" s="60">
        <f>8193+192+59</f>
        <v>8444</v>
      </c>
      <c r="H38" s="60">
        <f t="shared" si="9"/>
        <v>54</v>
      </c>
      <c r="I38" s="60">
        <f t="shared" si="6"/>
        <v>742</v>
      </c>
      <c r="J38" s="61">
        <f t="shared" si="10"/>
        <v>742</v>
      </c>
      <c r="K38" s="81" t="s">
        <v>98</v>
      </c>
      <c r="L38" s="62">
        <f>J38</f>
        <v>742</v>
      </c>
      <c r="M38" s="63"/>
      <c r="N38" s="63"/>
      <c r="O38" s="64">
        <v>1244.558</v>
      </c>
      <c r="P38" s="65">
        <f>O38*O3</f>
        <v>6484.1471799999999</v>
      </c>
      <c r="Q38" s="66">
        <f t="shared" si="8"/>
        <v>-502.55799999999999</v>
      </c>
      <c r="R38" s="66"/>
      <c r="S38" s="67">
        <f>Q38*O3</f>
        <v>-2618.3271799999998</v>
      </c>
    </row>
    <row r="39" spans="1:19" s="20" customFormat="1" ht="31.5" hidden="1" customHeight="1" x14ac:dyDescent="0.25">
      <c r="A39" s="75"/>
      <c r="L39" s="20">
        <f>SUM(L27:L38)</f>
        <v>6870</v>
      </c>
      <c r="O39" s="20">
        <f>SUM(O27:O38)</f>
        <v>14934.696000000004</v>
      </c>
      <c r="P39" s="20">
        <f>SUM(P27:P38)</f>
        <v>74673.48000000001</v>
      </c>
      <c r="R39" s="20">
        <f>SUM(Q27:R32)</f>
        <v>-4854.348</v>
      </c>
      <c r="S39" s="20">
        <f>SUM(S27:S38)</f>
        <v>-42549.072819999994</v>
      </c>
    </row>
    <row r="40" spans="1:19" s="20" customFormat="1" ht="31.5" hidden="1" customHeight="1" x14ac:dyDescent="0.25">
      <c r="A40" s="75"/>
      <c r="L40" s="20">
        <f>L39*P19</f>
        <v>40955043.473399997</v>
      </c>
      <c r="R40" s="20">
        <f>SUM(Q33:R38)</f>
        <v>-3210.348</v>
      </c>
    </row>
    <row r="41" spans="1:19" hidden="1" x14ac:dyDescent="0.25"/>
    <row r="42" spans="1:19" hidden="1" x14ac:dyDescent="0.25"/>
    <row r="43" spans="1:19" ht="31.5" customHeight="1" x14ac:dyDescent="0.25">
      <c r="A43" s="57">
        <v>45658</v>
      </c>
      <c r="B43" s="58">
        <v>4689.3</v>
      </c>
      <c r="C43" s="58">
        <v>1555.7</v>
      </c>
      <c r="D43" s="59" t="s">
        <v>34</v>
      </c>
      <c r="E43" s="58" t="s">
        <v>23</v>
      </c>
      <c r="F43" s="60">
        <v>9023</v>
      </c>
      <c r="G43" s="60">
        <f>9274+227+72</f>
        <v>9573</v>
      </c>
      <c r="H43" s="60">
        <f t="shared" ref="H43:H54" si="11">10+14+15+15</f>
        <v>54</v>
      </c>
      <c r="I43" s="60">
        <f t="shared" ref="I43:I44" si="12">F43-(G43+H43)</f>
        <v>-604</v>
      </c>
      <c r="J43" s="61">
        <f>I43</f>
        <v>-604</v>
      </c>
      <c r="K43" s="93" t="s">
        <v>103</v>
      </c>
      <c r="L43" s="62">
        <v>0</v>
      </c>
      <c r="M43" s="63"/>
      <c r="N43" s="63"/>
      <c r="O43" s="64">
        <v>1244.558</v>
      </c>
      <c r="P43" s="65">
        <f>O43*R2</f>
        <v>6484.1471799999999</v>
      </c>
      <c r="Q43" s="66">
        <f>L43-O43</f>
        <v>-1244.558</v>
      </c>
      <c r="R43" s="66"/>
      <c r="S43" s="92">
        <f>Q43*R2</f>
        <v>-6484.1471799999999</v>
      </c>
    </row>
    <row r="44" spans="1:19" ht="31.5" customHeight="1" x14ac:dyDescent="0.25">
      <c r="A44" s="57">
        <v>45689</v>
      </c>
      <c r="B44" s="58">
        <v>4689.3</v>
      </c>
      <c r="C44" s="58">
        <v>1555.7</v>
      </c>
      <c r="D44" s="59" t="s">
        <v>34</v>
      </c>
      <c r="E44" s="58" t="s">
        <v>23</v>
      </c>
      <c r="F44" s="60">
        <v>9884</v>
      </c>
      <c r="G44" s="60">
        <f>7447+167+57</f>
        <v>7671</v>
      </c>
      <c r="H44" s="60">
        <f t="shared" si="11"/>
        <v>54</v>
      </c>
      <c r="I44" s="60">
        <f t="shared" si="12"/>
        <v>2159</v>
      </c>
      <c r="J44" s="61">
        <f t="shared" ref="J44:J54" si="13">I44</f>
        <v>2159</v>
      </c>
      <c r="K44" s="93" t="s">
        <v>104</v>
      </c>
      <c r="L44" s="62">
        <f>J44+J43</f>
        <v>1555</v>
      </c>
      <c r="M44" s="63"/>
      <c r="N44" s="63"/>
      <c r="O44" s="64">
        <v>1244.558</v>
      </c>
      <c r="P44" s="65">
        <f>O44*R2</f>
        <v>6484.1471799999999</v>
      </c>
      <c r="Q44" s="66"/>
      <c r="R44" s="66">
        <f>L44-O44</f>
        <v>310.44200000000001</v>
      </c>
      <c r="S44" s="92">
        <f>R44*R2</f>
        <v>1617.40282</v>
      </c>
    </row>
    <row r="45" spans="1:19" ht="31.5" customHeight="1" x14ac:dyDescent="0.25">
      <c r="A45" s="57">
        <v>45717</v>
      </c>
      <c r="B45" s="58">
        <v>4689.3</v>
      </c>
      <c r="C45" s="58">
        <v>1555.7</v>
      </c>
      <c r="D45" s="59" t="s">
        <v>34</v>
      </c>
      <c r="E45" s="58" t="s">
        <v>23</v>
      </c>
      <c r="F45" s="60">
        <v>8270</v>
      </c>
      <c r="G45" s="60">
        <f>7637+186+56</f>
        <v>7879</v>
      </c>
      <c r="H45" s="60">
        <f t="shared" si="11"/>
        <v>54</v>
      </c>
      <c r="I45" s="60">
        <f>F45-(G45+H45)</f>
        <v>337</v>
      </c>
      <c r="J45" s="61">
        <f t="shared" si="13"/>
        <v>337</v>
      </c>
      <c r="K45" s="93" t="s">
        <v>105</v>
      </c>
      <c r="L45" s="62">
        <f>J45</f>
        <v>337</v>
      </c>
      <c r="M45" s="63"/>
      <c r="N45" s="63"/>
      <c r="O45" s="64">
        <v>1244.558</v>
      </c>
      <c r="P45" s="65">
        <f>O45*R2</f>
        <v>6484.1471799999999</v>
      </c>
      <c r="Q45" s="66">
        <f>L45-O45</f>
        <v>-907.55799999999999</v>
      </c>
      <c r="R45" s="66"/>
      <c r="S45" s="92">
        <f>Q45*R2</f>
        <v>-4728.3771799999995</v>
      </c>
    </row>
    <row r="46" spans="1:19" ht="31.5" customHeight="1" x14ac:dyDescent="0.25">
      <c r="A46" s="57">
        <v>45748</v>
      </c>
      <c r="B46" s="58">
        <v>4689.3</v>
      </c>
      <c r="C46" s="58">
        <v>1555.7</v>
      </c>
      <c r="D46" s="59" t="s">
        <v>34</v>
      </c>
      <c r="E46" s="58" t="s">
        <v>23</v>
      </c>
      <c r="F46" s="60">
        <v>8814</v>
      </c>
      <c r="G46" s="60">
        <f>7905+230+78</f>
        <v>8213</v>
      </c>
      <c r="H46" s="60">
        <f t="shared" si="11"/>
        <v>54</v>
      </c>
      <c r="I46" s="60">
        <f>F46-(G46+H46)</f>
        <v>547</v>
      </c>
      <c r="J46" s="61">
        <f t="shared" si="13"/>
        <v>547</v>
      </c>
      <c r="K46" s="93" t="s">
        <v>106</v>
      </c>
      <c r="L46" s="62">
        <f>J46</f>
        <v>547</v>
      </c>
      <c r="M46" s="63"/>
      <c r="N46" s="63"/>
      <c r="O46" s="64">
        <v>1244.558</v>
      </c>
      <c r="P46" s="65">
        <f>O46*R2</f>
        <v>6484.1471799999999</v>
      </c>
      <c r="Q46" s="66">
        <f t="shared" ref="Q46:Q51" si="14">L46-O46</f>
        <v>-697.55799999999999</v>
      </c>
      <c r="R46" s="66"/>
      <c r="S46" s="92">
        <f>Q46*R2</f>
        <v>-3634.27718</v>
      </c>
    </row>
    <row r="47" spans="1:19" ht="31.5" customHeight="1" x14ac:dyDescent="0.25">
      <c r="A47" s="57">
        <v>45778</v>
      </c>
      <c r="B47" s="58">
        <v>4689.3</v>
      </c>
      <c r="C47" s="58">
        <v>1555.7</v>
      </c>
      <c r="D47" s="59" t="s">
        <v>34</v>
      </c>
      <c r="E47" s="58" t="s">
        <v>23</v>
      </c>
      <c r="F47" s="60">
        <v>8123</v>
      </c>
      <c r="G47" s="60">
        <f>7869+191+71</f>
        <v>8131</v>
      </c>
      <c r="H47" s="60">
        <f t="shared" si="11"/>
        <v>54</v>
      </c>
      <c r="I47" s="60">
        <f>F47-(G47+H47)</f>
        <v>-62</v>
      </c>
      <c r="J47" s="61">
        <f t="shared" si="13"/>
        <v>-62</v>
      </c>
      <c r="K47" s="93" t="s">
        <v>107</v>
      </c>
      <c r="L47" s="62">
        <v>0</v>
      </c>
      <c r="M47" s="63"/>
      <c r="N47" s="63"/>
      <c r="O47" s="64">
        <v>1244.558</v>
      </c>
      <c r="P47" s="65">
        <f>O47*R2</f>
        <v>6484.1471799999999</v>
      </c>
      <c r="Q47" s="66">
        <f t="shared" si="14"/>
        <v>-1244.558</v>
      </c>
      <c r="R47" s="66"/>
      <c r="S47" s="92">
        <f>Q47*R2</f>
        <v>-6484.1471799999999</v>
      </c>
    </row>
    <row r="48" spans="1:19" ht="31.5" customHeight="1" x14ac:dyDescent="0.25">
      <c r="A48" s="57">
        <v>45809</v>
      </c>
      <c r="B48" s="58">
        <v>4689.3</v>
      </c>
      <c r="C48" s="58">
        <v>1555.7</v>
      </c>
      <c r="D48" s="59" t="s">
        <v>34</v>
      </c>
      <c r="E48" s="58" t="s">
        <v>23</v>
      </c>
      <c r="F48" s="60">
        <v>9040</v>
      </c>
      <c r="G48" s="60">
        <f>4269+252+100</f>
        <v>4621</v>
      </c>
      <c r="H48" s="60">
        <f t="shared" si="11"/>
        <v>54</v>
      </c>
      <c r="I48" s="60">
        <f>F48-(G48+H48)</f>
        <v>4365</v>
      </c>
      <c r="J48" s="61">
        <f>I48+J47</f>
        <v>4303</v>
      </c>
      <c r="K48" s="93" t="s">
        <v>108</v>
      </c>
      <c r="L48" s="62">
        <f>J48</f>
        <v>4303</v>
      </c>
      <c r="M48" s="63"/>
      <c r="N48" s="63"/>
      <c r="O48" s="64">
        <v>1244.558</v>
      </c>
      <c r="P48" s="65">
        <f>O48*R2</f>
        <v>6484.1471799999999</v>
      </c>
      <c r="Q48" s="66"/>
      <c r="R48" s="66">
        <f>L48-O48</f>
        <v>3058.442</v>
      </c>
      <c r="S48" s="92">
        <f>R48*R2</f>
        <v>15934.482819999999</v>
      </c>
    </row>
    <row r="49" spans="1:19" ht="31.5" customHeight="1" x14ac:dyDescent="0.25">
      <c r="A49" s="57">
        <v>45839</v>
      </c>
      <c r="B49" s="58">
        <v>4689.3</v>
      </c>
      <c r="C49" s="58">
        <v>1555.7</v>
      </c>
      <c r="D49" s="59" t="s">
        <v>34</v>
      </c>
      <c r="E49" s="58" t="s">
        <v>23</v>
      </c>
      <c r="F49" s="60">
        <v>7925</v>
      </c>
      <c r="G49" s="60">
        <f>8589+196+87</f>
        <v>8872</v>
      </c>
      <c r="H49" s="60">
        <f t="shared" si="11"/>
        <v>54</v>
      </c>
      <c r="I49" s="60">
        <f>F49-(G49+H49)</f>
        <v>-1001</v>
      </c>
      <c r="J49" s="61">
        <f t="shared" si="13"/>
        <v>-1001</v>
      </c>
      <c r="K49" s="93" t="s">
        <v>109</v>
      </c>
      <c r="L49" s="62">
        <v>0</v>
      </c>
      <c r="M49" s="63"/>
      <c r="N49" s="63"/>
      <c r="O49" s="64">
        <v>1244.558</v>
      </c>
      <c r="P49" s="65">
        <f>O49*R3</f>
        <v>7293.10988</v>
      </c>
      <c r="Q49" s="66">
        <f t="shared" si="14"/>
        <v>-1244.558</v>
      </c>
      <c r="R49" s="66"/>
      <c r="S49" s="92">
        <f>Q49*R3</f>
        <v>-7293.10988</v>
      </c>
    </row>
    <row r="50" spans="1:19" ht="31.5" customHeight="1" x14ac:dyDescent="0.25">
      <c r="A50" s="57">
        <v>45870</v>
      </c>
      <c r="B50" s="58">
        <v>4689.3</v>
      </c>
      <c r="C50" s="58">
        <v>1555.7</v>
      </c>
      <c r="D50" s="59" t="s">
        <v>34</v>
      </c>
      <c r="E50" s="58" t="s">
        <v>23</v>
      </c>
      <c r="F50" s="60">
        <v>8957</v>
      </c>
      <c r="G50" s="60">
        <f>7867+278+161</f>
        <v>8306</v>
      </c>
      <c r="H50" s="60">
        <f t="shared" si="11"/>
        <v>54</v>
      </c>
      <c r="I50" s="60">
        <f t="shared" ref="I50:I54" si="15">F50-(G50+H50)</f>
        <v>597</v>
      </c>
      <c r="J50" s="61">
        <f>I50+J49</f>
        <v>-404</v>
      </c>
      <c r="K50" s="93" t="s">
        <v>113</v>
      </c>
      <c r="L50" s="62">
        <v>0</v>
      </c>
      <c r="M50" s="63"/>
      <c r="N50" s="63"/>
      <c r="O50" s="64">
        <v>1244.558</v>
      </c>
      <c r="P50" s="65">
        <f>O50*R3</f>
        <v>7293.10988</v>
      </c>
      <c r="Q50" s="66">
        <f t="shared" si="14"/>
        <v>-1244.558</v>
      </c>
      <c r="R50" s="66"/>
      <c r="S50" s="92">
        <f>Q50*R3</f>
        <v>-7293.10988</v>
      </c>
    </row>
    <row r="51" spans="1:19" ht="31.5" customHeight="1" x14ac:dyDescent="0.25">
      <c r="A51" s="57">
        <v>45901</v>
      </c>
      <c r="B51" s="58">
        <v>4689.3</v>
      </c>
      <c r="C51" s="58">
        <v>1555.7</v>
      </c>
      <c r="D51" s="59" t="s">
        <v>34</v>
      </c>
      <c r="E51" s="58" t="s">
        <v>23</v>
      </c>
      <c r="F51" s="60">
        <v>8902</v>
      </c>
      <c r="G51" s="60">
        <f>7956+283+171</f>
        <v>8410</v>
      </c>
      <c r="H51" s="60">
        <f t="shared" si="11"/>
        <v>54</v>
      </c>
      <c r="I51" s="60">
        <f t="shared" si="15"/>
        <v>438</v>
      </c>
      <c r="J51" s="61">
        <f>I51+J50</f>
        <v>34</v>
      </c>
      <c r="K51" s="93" t="s">
        <v>110</v>
      </c>
      <c r="L51" s="62">
        <f>J51</f>
        <v>34</v>
      </c>
      <c r="M51" s="63"/>
      <c r="N51" s="63"/>
      <c r="O51" s="64">
        <v>1244.558</v>
      </c>
      <c r="P51" s="65">
        <f>O51*R3</f>
        <v>7293.10988</v>
      </c>
      <c r="Q51" s="66">
        <f t="shared" si="14"/>
        <v>-1210.558</v>
      </c>
      <c r="R51" s="66"/>
      <c r="S51" s="92">
        <f>Q51*R3</f>
        <v>-7093.8698800000002</v>
      </c>
    </row>
    <row r="52" spans="1:19" ht="31.5" customHeight="1" x14ac:dyDescent="0.25">
      <c r="A52" s="57">
        <v>45931</v>
      </c>
      <c r="B52" s="58">
        <v>4689.3</v>
      </c>
      <c r="C52" s="58">
        <v>1555.7</v>
      </c>
      <c r="D52" s="59" t="s">
        <v>34</v>
      </c>
      <c r="E52" s="58" t="s">
        <v>23</v>
      </c>
      <c r="F52" s="60">
        <v>9939</v>
      </c>
      <c r="G52" s="60">
        <f>7706+227+112</f>
        <v>8045</v>
      </c>
      <c r="H52" s="60">
        <f t="shared" si="11"/>
        <v>54</v>
      </c>
      <c r="I52" s="60">
        <f t="shared" si="15"/>
        <v>1840</v>
      </c>
      <c r="J52" s="61">
        <f t="shared" si="13"/>
        <v>1840</v>
      </c>
      <c r="K52" s="93" t="s">
        <v>111</v>
      </c>
      <c r="L52" s="62">
        <f>J52</f>
        <v>1840</v>
      </c>
      <c r="M52" s="63"/>
      <c r="N52" s="63"/>
      <c r="O52" s="64">
        <v>1244.558</v>
      </c>
      <c r="P52" s="65">
        <f>O52*R3</f>
        <v>7293.10988</v>
      </c>
      <c r="Q52" s="66"/>
      <c r="R52" s="66">
        <f>L52-O52</f>
        <v>595.44200000000001</v>
      </c>
      <c r="S52" s="92">
        <f>R52*R3</f>
        <v>3489.2901200000001</v>
      </c>
    </row>
    <row r="53" spans="1:19" ht="31.5" customHeight="1" x14ac:dyDescent="0.25">
      <c r="A53" s="57">
        <v>45962</v>
      </c>
      <c r="B53" s="58">
        <v>4689.3</v>
      </c>
      <c r="C53" s="58">
        <v>1555.7</v>
      </c>
      <c r="D53" s="59" t="s">
        <v>34</v>
      </c>
      <c r="E53" s="58" t="s">
        <v>23</v>
      </c>
      <c r="F53" s="60">
        <v>9630</v>
      </c>
      <c r="G53" s="60">
        <f>7586+209+71</f>
        <v>7866</v>
      </c>
      <c r="H53" s="60">
        <f t="shared" si="11"/>
        <v>54</v>
      </c>
      <c r="I53" s="60">
        <f t="shared" si="15"/>
        <v>1710</v>
      </c>
      <c r="J53" s="61">
        <f t="shared" si="13"/>
        <v>1710</v>
      </c>
      <c r="K53" s="93" t="s">
        <v>114</v>
      </c>
      <c r="L53" s="62">
        <f>J53</f>
        <v>1710</v>
      </c>
      <c r="M53" s="63"/>
      <c r="N53" s="63"/>
      <c r="O53" s="64">
        <v>1244.558</v>
      </c>
      <c r="P53" s="65">
        <f>O53*R3</f>
        <v>7293.10988</v>
      </c>
      <c r="Q53" s="66"/>
      <c r="R53" s="66">
        <f>L53-O53</f>
        <v>465.44200000000001</v>
      </c>
      <c r="S53" s="92">
        <f>R53*R3</f>
        <v>2727.4901200000004</v>
      </c>
    </row>
    <row r="54" spans="1:19" ht="31.5" customHeight="1" x14ac:dyDescent="0.25">
      <c r="A54" s="57">
        <v>45992</v>
      </c>
      <c r="B54" s="58">
        <v>4689.3</v>
      </c>
      <c r="C54" s="58">
        <v>1555.7</v>
      </c>
      <c r="D54" s="59" t="s">
        <v>34</v>
      </c>
      <c r="E54" s="58" t="s">
        <v>23</v>
      </c>
      <c r="F54" s="60">
        <v>8724</v>
      </c>
      <c r="G54" s="60">
        <f>8773+210+50</f>
        <v>9033</v>
      </c>
      <c r="H54" s="60">
        <f t="shared" si="11"/>
        <v>54</v>
      </c>
      <c r="I54" s="60">
        <f t="shared" si="15"/>
        <v>-363</v>
      </c>
      <c r="J54" s="61">
        <f t="shared" si="13"/>
        <v>-363</v>
      </c>
      <c r="K54" s="81" t="s">
        <v>112</v>
      </c>
      <c r="L54" s="62">
        <v>0</v>
      </c>
      <c r="M54" s="63"/>
      <c r="N54" s="63"/>
      <c r="O54" s="64">
        <v>1244.558</v>
      </c>
      <c r="P54" s="65">
        <f>O54*R3</f>
        <v>7293.10988</v>
      </c>
      <c r="Q54" s="66">
        <f t="shared" ref="Q54" si="16">L54-O54</f>
        <v>-1244.558</v>
      </c>
      <c r="R54" s="66"/>
      <c r="S54" s="92">
        <f>Q54*R3</f>
        <v>-7293.10988</v>
      </c>
    </row>
    <row r="55" spans="1:19" s="20" customFormat="1" ht="31.5" customHeight="1" x14ac:dyDescent="0.25">
      <c r="A55" s="75"/>
      <c r="L55" s="20">
        <f>SUM(L43:L54)</f>
        <v>10326</v>
      </c>
      <c r="O55" s="20">
        <f>SUM(O43:O54)</f>
        <v>14934.696000000004</v>
      </c>
      <c r="P55" s="20">
        <f>SUM(P43:P54)</f>
        <v>82663.542360000021</v>
      </c>
      <c r="Q55" s="95" t="s">
        <v>116</v>
      </c>
      <c r="R55" s="95">
        <f>SUM(Q43:R48)</f>
        <v>-725.34799999999996</v>
      </c>
      <c r="S55" s="96">
        <f>SUM(S43:S48)</f>
        <v>-3779.0630800000017</v>
      </c>
    </row>
    <row r="56" spans="1:19" s="20" customFormat="1" ht="31.5" customHeight="1" x14ac:dyDescent="0.25">
      <c r="A56" s="75"/>
      <c r="Q56" s="97" t="s">
        <v>117</v>
      </c>
      <c r="R56" s="95">
        <f>SUM(Q49:R54)</f>
        <v>-3883.348</v>
      </c>
      <c r="S56" s="96">
        <f>SUM(S49:S54)</f>
        <v>-22756.419279999995</v>
      </c>
    </row>
    <row r="57" spans="1:19" x14ac:dyDescent="0.25">
      <c r="A57" s="94"/>
      <c r="Q57" s="97"/>
      <c r="R57" s="95">
        <f>R54+R55</f>
        <v>-725.34799999999996</v>
      </c>
      <c r="S57" s="98">
        <f>S54+S55</f>
        <v>-11072.172960000002</v>
      </c>
    </row>
    <row r="58" spans="1:19" x14ac:dyDescent="0.25">
      <c r="A58" s="94"/>
      <c r="Q58" s="97"/>
      <c r="R58" s="95">
        <f>R55+R56</f>
        <v>-4608.6959999999999</v>
      </c>
      <c r="S58" s="96">
        <f>S55+S56</f>
        <v>-26535.482359999995</v>
      </c>
    </row>
    <row r="59" spans="1:19" x14ac:dyDescent="0.25">
      <c r="K59" s="90"/>
      <c r="S59">
        <v>0</v>
      </c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  <row r="64" spans="1:19" x14ac:dyDescent="0.25">
      <c r="K64" s="90"/>
    </row>
    <row r="65" spans="11:11" x14ac:dyDescent="0.25">
      <c r="K65" s="90"/>
    </row>
    <row r="66" spans="11:11" x14ac:dyDescent="0.25">
      <c r="K66" s="90"/>
    </row>
  </sheetData>
  <sheetProtection algorithmName="SHA-512" hashValue="tQlawNcfaaKfor2CjuzwHbS1uiA+JVpxaZEfKWq7r/tTqGR9oWVdEYQ4zCp3e5DwmMGXs8U96FdGN+HxLQt13A==" saltValue="Pus7wLyFxNvA0XVXWuTUPA==" spinCount="100000" sheet="1" objects="1" scenarios="1" selectLockedCells="1" selectUnlockedCells="1"/>
  <mergeCells count="23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P2:P3"/>
    <mergeCell ref="S4:S5"/>
    <mergeCell ref="M4:M5"/>
    <mergeCell ref="G2:K2"/>
    <mergeCell ref="G3:K3"/>
    <mergeCell ref="J4:J5"/>
    <mergeCell ref="N4:N5"/>
    <mergeCell ref="S2:S3"/>
  </mergeCells>
  <pageMargins left="0.25" right="0.25" top="0.75" bottom="0.75" header="0.3" footer="0.3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zoomScale="78" zoomScaleNormal="78" workbookViewId="0">
      <selection activeCell="A2" sqref="A2:D2"/>
    </sheetView>
  </sheetViews>
  <sheetFormatPr defaultRowHeight="15" x14ac:dyDescent="0.25"/>
  <cols>
    <col min="1" max="1" width="10.42578125" style="2" bestFit="1" customWidth="1"/>
    <col min="2" max="2" width="15.5703125" customWidth="1"/>
    <col min="3" max="3" width="12.42578125" customWidth="1"/>
    <col min="4" max="4" width="20.7109375" customWidth="1"/>
    <col min="5" max="5" width="16" customWidth="1"/>
    <col min="6" max="6" width="24.7109375" customWidth="1"/>
    <col min="7" max="7" width="18.7109375" customWidth="1"/>
    <col min="8" max="8" width="19.7109375" customWidth="1"/>
    <col min="9" max="9" width="20" customWidth="1"/>
    <col min="10" max="10" width="13" customWidth="1"/>
    <col min="11" max="11" width="22.42578125" customWidth="1"/>
    <col min="12" max="12" width="15.7109375" customWidth="1"/>
    <col min="13" max="13" width="17.140625" customWidth="1"/>
    <col min="14" max="14" width="17.5703125" customWidth="1"/>
    <col min="15" max="15" width="23.5703125" customWidth="1"/>
    <col min="16" max="16" width="17.5703125" customWidth="1"/>
    <col min="17" max="17" width="19.28515625" customWidth="1"/>
    <col min="18" max="18" width="21.28515625" customWidth="1"/>
    <col min="19" max="19" width="15.140625" customWidth="1"/>
    <col min="20" max="20" width="4.710937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19" ht="20.100000000000001" customHeight="1" x14ac:dyDescent="0.2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0.100000000000001" customHeight="1" x14ac:dyDescent="0.25">
      <c r="A2" s="126" t="s">
        <v>35</v>
      </c>
      <c r="B2" s="126"/>
      <c r="C2" s="126"/>
      <c r="D2" s="126"/>
      <c r="G2" s="124" t="s">
        <v>61</v>
      </c>
      <c r="H2" s="124"/>
      <c r="I2" s="124"/>
      <c r="J2" s="124"/>
      <c r="K2" s="124"/>
      <c r="L2" s="12" t="s">
        <v>25</v>
      </c>
      <c r="M2" s="13">
        <v>4.4000000000000004</v>
      </c>
      <c r="N2" s="28" t="s">
        <v>73</v>
      </c>
      <c r="O2" s="28">
        <v>4.79</v>
      </c>
      <c r="P2" s="118" t="s">
        <v>75</v>
      </c>
      <c r="Q2" s="70" t="s">
        <v>100</v>
      </c>
      <c r="R2" s="70">
        <v>5.21</v>
      </c>
      <c r="S2" s="117" t="s">
        <v>102</v>
      </c>
    </row>
    <row r="3" spans="1:19" ht="20.100000000000001" customHeight="1" x14ac:dyDescent="0.25">
      <c r="G3" s="124" t="s">
        <v>61</v>
      </c>
      <c r="H3" s="124"/>
      <c r="I3" s="124"/>
      <c r="J3" s="124"/>
      <c r="K3" s="124"/>
      <c r="L3" s="12" t="s">
        <v>62</v>
      </c>
      <c r="M3" s="13">
        <v>4.79</v>
      </c>
      <c r="N3" s="28" t="s">
        <v>74</v>
      </c>
      <c r="O3" s="28">
        <v>5.21</v>
      </c>
      <c r="P3" s="118"/>
      <c r="Q3" s="70" t="s">
        <v>101</v>
      </c>
      <c r="R3" s="70">
        <v>5.86</v>
      </c>
      <c r="S3" s="117"/>
    </row>
    <row r="4" spans="1:19" ht="68.25" customHeight="1" x14ac:dyDescent="0.25">
      <c r="A4" s="125" t="s">
        <v>4</v>
      </c>
      <c r="B4" s="125" t="s">
        <v>3</v>
      </c>
      <c r="C4" s="127" t="s">
        <v>13</v>
      </c>
      <c r="D4" s="125" t="s">
        <v>22</v>
      </c>
      <c r="E4" s="125" t="s">
        <v>0</v>
      </c>
      <c r="F4" s="125" t="s">
        <v>9</v>
      </c>
      <c r="G4" s="125" t="s">
        <v>10</v>
      </c>
      <c r="H4" s="125" t="s">
        <v>11</v>
      </c>
      <c r="I4" s="125" t="s">
        <v>12</v>
      </c>
      <c r="J4" s="127" t="s">
        <v>68</v>
      </c>
      <c r="K4" s="125" t="s">
        <v>5</v>
      </c>
      <c r="L4" s="125"/>
      <c r="M4" s="125" t="s">
        <v>14</v>
      </c>
      <c r="N4" s="125" t="s">
        <v>16</v>
      </c>
      <c r="O4" s="127" t="s">
        <v>15</v>
      </c>
      <c r="P4" s="125" t="s">
        <v>7</v>
      </c>
      <c r="Q4" s="125" t="s">
        <v>6</v>
      </c>
      <c r="R4" s="125"/>
      <c r="S4" s="127" t="s">
        <v>63</v>
      </c>
    </row>
    <row r="5" spans="1:19" ht="78" customHeight="1" x14ac:dyDescent="0.25">
      <c r="A5" s="125"/>
      <c r="B5" s="125"/>
      <c r="C5" s="128"/>
      <c r="D5" s="125"/>
      <c r="E5" s="125"/>
      <c r="F5" s="125"/>
      <c r="G5" s="125"/>
      <c r="H5" s="125"/>
      <c r="I5" s="125"/>
      <c r="J5" s="128"/>
      <c r="K5" s="22" t="s">
        <v>1</v>
      </c>
      <c r="L5" s="22" t="s">
        <v>2</v>
      </c>
      <c r="M5" s="125"/>
      <c r="N5" s="125"/>
      <c r="O5" s="128"/>
      <c r="P5" s="125"/>
      <c r="Q5" s="23" t="s">
        <v>69</v>
      </c>
      <c r="R5" s="41" t="s">
        <v>71</v>
      </c>
      <c r="S5" s="128"/>
    </row>
    <row r="6" spans="1:19" ht="20.100000000000001" customHeight="1" x14ac:dyDescent="0.25">
      <c r="A6" s="3">
        <v>1</v>
      </c>
      <c r="B6" s="3">
        <v>2</v>
      </c>
      <c r="C6" s="3">
        <v>3</v>
      </c>
      <c r="D6" s="5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5">
        <v>19</v>
      </c>
    </row>
    <row r="7" spans="1:19" ht="39.75" hidden="1" customHeight="1" x14ac:dyDescent="0.25">
      <c r="A7" s="18">
        <v>44805</v>
      </c>
      <c r="B7" s="10">
        <v>3375.7</v>
      </c>
      <c r="C7" s="10">
        <v>221.5</v>
      </c>
      <c r="D7" s="19" t="s">
        <v>36</v>
      </c>
      <c r="E7" s="10" t="s">
        <v>23</v>
      </c>
      <c r="F7" s="11"/>
      <c r="G7" s="11"/>
      <c r="H7" s="11"/>
      <c r="I7" s="11"/>
      <c r="J7" s="24"/>
      <c r="K7" s="25" t="s">
        <v>65</v>
      </c>
      <c r="L7" s="32">
        <v>160</v>
      </c>
      <c r="M7" s="10"/>
      <c r="N7" s="10"/>
      <c r="O7" s="45">
        <v>159.483</v>
      </c>
      <c r="P7" s="36">
        <f>O7*M2</f>
        <v>701.72520000000009</v>
      </c>
      <c r="Q7" s="48"/>
      <c r="R7" s="10"/>
      <c r="S7" s="16">
        <v>0</v>
      </c>
    </row>
    <row r="8" spans="1:19" ht="39.75" hidden="1" customHeight="1" x14ac:dyDescent="0.25">
      <c r="A8" s="18">
        <v>44835</v>
      </c>
      <c r="B8" s="10">
        <v>3375.7</v>
      </c>
      <c r="C8" s="10">
        <v>221.5</v>
      </c>
      <c r="D8" s="19" t="s">
        <v>36</v>
      </c>
      <c r="E8" s="10" t="s">
        <v>23</v>
      </c>
      <c r="F8" s="11">
        <v>4692.88</v>
      </c>
      <c r="G8" s="11">
        <f>5632+213+128</f>
        <v>5973</v>
      </c>
      <c r="H8" s="11">
        <f>180+14+15</f>
        <v>209</v>
      </c>
      <c r="I8" s="11">
        <f>F8-(G8+H8)</f>
        <v>-1489.12</v>
      </c>
      <c r="J8" s="24">
        <f>I8</f>
        <v>-1489.12</v>
      </c>
      <c r="K8" s="27" t="s">
        <v>64</v>
      </c>
      <c r="L8" s="34">
        <v>0</v>
      </c>
      <c r="M8" s="29"/>
      <c r="N8" s="29"/>
      <c r="O8" s="45">
        <v>159.483</v>
      </c>
      <c r="P8" s="36">
        <f>O8*M2</f>
        <v>701.72520000000009</v>
      </c>
      <c r="Q8" s="52">
        <f>O8</f>
        <v>159.483</v>
      </c>
      <c r="R8" s="28"/>
      <c r="S8" s="16">
        <f>-(Q8*M2)</f>
        <v>-701.72520000000009</v>
      </c>
    </row>
    <row r="9" spans="1:19" ht="39.75" hidden="1" customHeight="1" x14ac:dyDescent="0.25">
      <c r="A9" s="18">
        <v>44866</v>
      </c>
      <c r="B9" s="10">
        <v>3375.7</v>
      </c>
      <c r="C9" s="10">
        <v>221.5</v>
      </c>
      <c r="D9" s="19" t="s">
        <v>36</v>
      </c>
      <c r="E9" s="10" t="s">
        <v>23</v>
      </c>
      <c r="F9" s="7">
        <v>6778.32</v>
      </c>
      <c r="G9" s="4">
        <f>6675+213+128</f>
        <v>7016</v>
      </c>
      <c r="H9" s="4">
        <f>15+14+190</f>
        <v>219</v>
      </c>
      <c r="I9" s="11">
        <f t="shared" ref="I9:I22" si="0">F9-(G9+H9)</f>
        <v>-456.68000000000029</v>
      </c>
      <c r="J9" s="24">
        <f>J8+I9</f>
        <v>-1945.8000000000002</v>
      </c>
      <c r="K9" s="27" t="s">
        <v>66</v>
      </c>
      <c r="L9" s="34">
        <v>0</v>
      </c>
      <c r="M9" s="28"/>
      <c r="N9" s="28"/>
      <c r="O9" s="45">
        <v>159.483</v>
      </c>
      <c r="P9" s="38">
        <f>O9*M2</f>
        <v>701.72520000000009</v>
      </c>
      <c r="Q9" s="52">
        <f t="shared" ref="Q9:Q10" si="1">O9</f>
        <v>159.483</v>
      </c>
      <c r="R9" s="28"/>
      <c r="S9" s="16">
        <f>-(Q9*M2)</f>
        <v>-701.72520000000009</v>
      </c>
    </row>
    <row r="10" spans="1:19" ht="39.75" hidden="1" customHeight="1" x14ac:dyDescent="0.25">
      <c r="A10" s="18">
        <v>44896</v>
      </c>
      <c r="B10" s="4">
        <v>3375.7</v>
      </c>
      <c r="C10" s="4">
        <v>221.5</v>
      </c>
      <c r="D10" s="19" t="s">
        <v>36</v>
      </c>
      <c r="E10" s="4" t="s">
        <v>23</v>
      </c>
      <c r="F10" s="4">
        <v>5927</v>
      </c>
      <c r="G10" s="4">
        <f>4994+213+128</f>
        <v>5335</v>
      </c>
      <c r="H10" s="4">
        <f>422+14+15</f>
        <v>451</v>
      </c>
      <c r="I10" s="6">
        <f t="shared" si="0"/>
        <v>141</v>
      </c>
      <c r="J10" s="24">
        <f>J9+I10</f>
        <v>-1804.8000000000002</v>
      </c>
      <c r="K10" s="27" t="s">
        <v>67</v>
      </c>
      <c r="L10" s="34">
        <v>0</v>
      </c>
      <c r="M10" s="28"/>
      <c r="N10" s="28"/>
      <c r="O10" s="46">
        <v>159.483</v>
      </c>
      <c r="P10" s="38">
        <f>O10*M3</f>
        <v>763.92357000000004</v>
      </c>
      <c r="Q10" s="52">
        <f t="shared" si="1"/>
        <v>159.483</v>
      </c>
      <c r="R10" s="28"/>
      <c r="S10" s="16">
        <f>-(Q10*M3)</f>
        <v>-763.92357000000004</v>
      </c>
    </row>
    <row r="11" spans="1:19" ht="31.5" hidden="1" customHeight="1" x14ac:dyDescent="0.25">
      <c r="A11" s="57">
        <v>44927</v>
      </c>
      <c r="B11" s="58">
        <v>3375.7</v>
      </c>
      <c r="C11" s="58">
        <v>221.5</v>
      </c>
      <c r="D11" s="59" t="s">
        <v>36</v>
      </c>
      <c r="E11" s="58" t="s">
        <v>23</v>
      </c>
      <c r="F11" s="60">
        <v>7036.56</v>
      </c>
      <c r="G11" s="60">
        <f>5649</f>
        <v>5649</v>
      </c>
      <c r="H11" s="60">
        <f>212+14+15</f>
        <v>241</v>
      </c>
      <c r="I11" s="60">
        <f t="shared" si="0"/>
        <v>1146.5600000000004</v>
      </c>
      <c r="J11" s="61">
        <f>I11-1147</f>
        <v>-0.43999999999959982</v>
      </c>
      <c r="K11" s="80" t="s">
        <v>76</v>
      </c>
      <c r="L11" s="62">
        <v>0</v>
      </c>
      <c r="M11" s="63"/>
      <c r="N11" s="63"/>
      <c r="O11" s="64">
        <v>159.483</v>
      </c>
      <c r="P11" s="65">
        <f>O11*M3</f>
        <v>763.92357000000004</v>
      </c>
      <c r="Q11" s="66">
        <f>L11-O11</f>
        <v>-159.483</v>
      </c>
      <c r="R11" s="66"/>
      <c r="S11" s="67">
        <f>Q11*M3</f>
        <v>-763.92357000000004</v>
      </c>
    </row>
    <row r="12" spans="1:19" ht="31.5" hidden="1" customHeight="1" x14ac:dyDescent="0.25">
      <c r="A12" s="57">
        <v>44958</v>
      </c>
      <c r="B12" s="58">
        <v>3375.7</v>
      </c>
      <c r="C12" s="58">
        <v>221.5</v>
      </c>
      <c r="D12" s="59" t="s">
        <v>36</v>
      </c>
      <c r="E12" s="58" t="s">
        <v>23</v>
      </c>
      <c r="F12" s="60">
        <v>4463.4399999999996</v>
      </c>
      <c r="G12" s="60">
        <f>4180</f>
        <v>4180</v>
      </c>
      <c r="H12" s="60">
        <f>240+14+15</f>
        <v>269</v>
      </c>
      <c r="I12" s="60">
        <f t="shared" si="0"/>
        <v>14.4399999999996</v>
      </c>
      <c r="J12" s="61">
        <f>I12-14</f>
        <v>0.43999999999959982</v>
      </c>
      <c r="K12" s="80"/>
      <c r="L12" s="62">
        <v>0</v>
      </c>
      <c r="M12" s="63"/>
      <c r="N12" s="63"/>
      <c r="O12" s="64">
        <v>159.483</v>
      </c>
      <c r="P12" s="65">
        <f>O12*M3</f>
        <v>763.92357000000004</v>
      </c>
      <c r="Q12" s="66">
        <f>L12-O12</f>
        <v>-159.483</v>
      </c>
      <c r="R12" s="66"/>
      <c r="S12" s="67">
        <f>Q12*M3</f>
        <v>-763.92357000000004</v>
      </c>
    </row>
    <row r="13" spans="1:19" ht="31.5" hidden="1" customHeight="1" x14ac:dyDescent="0.25">
      <c r="A13" s="57">
        <v>44986</v>
      </c>
      <c r="B13" s="58">
        <v>3375.7</v>
      </c>
      <c r="C13" s="58">
        <v>221.5</v>
      </c>
      <c r="D13" s="59" t="s">
        <v>36</v>
      </c>
      <c r="E13" s="58" t="s">
        <v>23</v>
      </c>
      <c r="F13" s="60">
        <v>6912.88</v>
      </c>
      <c r="G13" s="60">
        <f>4025</f>
        <v>4025</v>
      </c>
      <c r="H13" s="60">
        <f>180+14+15</f>
        <v>209</v>
      </c>
      <c r="I13" s="60">
        <f t="shared" si="0"/>
        <v>2678.88</v>
      </c>
      <c r="J13" s="61">
        <f>I13-644</f>
        <v>2034.88</v>
      </c>
      <c r="K13" s="80" t="s">
        <v>77</v>
      </c>
      <c r="L13" s="62">
        <f>J13</f>
        <v>2034.88</v>
      </c>
      <c r="M13" s="63"/>
      <c r="N13" s="63"/>
      <c r="O13" s="64">
        <v>159.483</v>
      </c>
      <c r="P13" s="65">
        <f>O13*M3</f>
        <v>763.92357000000004</v>
      </c>
      <c r="Q13" s="66"/>
      <c r="R13" s="66">
        <f>L13-O13</f>
        <v>1875.3970000000002</v>
      </c>
      <c r="S13" s="67">
        <f>R13*M3</f>
        <v>8983.1516300000003</v>
      </c>
    </row>
    <row r="14" spans="1:19" ht="31.5" hidden="1" customHeight="1" x14ac:dyDescent="0.25">
      <c r="A14" s="57">
        <v>45017</v>
      </c>
      <c r="B14" s="58">
        <v>3375.7</v>
      </c>
      <c r="C14" s="58">
        <v>221.5</v>
      </c>
      <c r="D14" s="59" t="s">
        <v>36</v>
      </c>
      <c r="E14" s="58" t="s">
        <v>23</v>
      </c>
      <c r="F14" s="60">
        <v>5444.64</v>
      </c>
      <c r="G14" s="60">
        <f>6156</f>
        <v>6156</v>
      </c>
      <c r="H14" s="60">
        <f>215+14+15</f>
        <v>244</v>
      </c>
      <c r="I14" s="60">
        <f t="shared" si="0"/>
        <v>-955.35999999999967</v>
      </c>
      <c r="J14" s="61">
        <f t="shared" ref="J14:J22" si="2">I14</f>
        <v>-955.35999999999967</v>
      </c>
      <c r="K14" s="80" t="s">
        <v>78</v>
      </c>
      <c r="L14" s="62">
        <v>0</v>
      </c>
      <c r="M14" s="63"/>
      <c r="N14" s="63"/>
      <c r="O14" s="64">
        <v>159.483</v>
      </c>
      <c r="P14" s="65">
        <f>O14*M3</f>
        <v>763.92357000000004</v>
      </c>
      <c r="Q14" s="66">
        <f>L14-O14</f>
        <v>-159.483</v>
      </c>
      <c r="R14" s="66"/>
      <c r="S14" s="67">
        <f>Q14*M3</f>
        <v>-763.92357000000004</v>
      </c>
    </row>
    <row r="15" spans="1:19" ht="31.5" hidden="1" customHeight="1" x14ac:dyDescent="0.25">
      <c r="A15" s="57">
        <v>45047</v>
      </c>
      <c r="B15" s="58">
        <v>3375.7</v>
      </c>
      <c r="C15" s="58">
        <v>221.5</v>
      </c>
      <c r="D15" s="59" t="s">
        <v>36</v>
      </c>
      <c r="E15" s="58" t="s">
        <v>23</v>
      </c>
      <c r="F15" s="60">
        <v>6523.92</v>
      </c>
      <c r="G15" s="60">
        <f>4593</f>
        <v>4593</v>
      </c>
      <c r="H15" s="60">
        <f>200+14+15</f>
        <v>229</v>
      </c>
      <c r="I15" s="60">
        <f t="shared" si="0"/>
        <v>1701.92</v>
      </c>
      <c r="J15" s="61">
        <f>I15+I14</f>
        <v>746.5600000000004</v>
      </c>
      <c r="K15" s="80" t="s">
        <v>79</v>
      </c>
      <c r="L15" s="62">
        <f>J15</f>
        <v>746.5600000000004</v>
      </c>
      <c r="M15" s="63"/>
      <c r="N15" s="63"/>
      <c r="O15" s="64">
        <v>159.483</v>
      </c>
      <c r="P15" s="65">
        <f>O15*M3</f>
        <v>763.92357000000004</v>
      </c>
      <c r="Q15" s="66"/>
      <c r="R15" s="66">
        <f>L15-O15</f>
        <v>587.07700000000045</v>
      </c>
      <c r="S15" s="67">
        <f>R15*M3</f>
        <v>2812.0988300000022</v>
      </c>
    </row>
    <row r="16" spans="1:19" ht="31.5" hidden="1" customHeight="1" x14ac:dyDescent="0.25">
      <c r="A16" s="57">
        <v>45078</v>
      </c>
      <c r="B16" s="58">
        <v>3375.7</v>
      </c>
      <c r="C16" s="58">
        <v>221.5</v>
      </c>
      <c r="D16" s="59" t="s">
        <v>36</v>
      </c>
      <c r="E16" s="58" t="s">
        <v>23</v>
      </c>
      <c r="F16" s="60">
        <v>5392.24</v>
      </c>
      <c r="G16" s="60">
        <f>4308</f>
        <v>4308</v>
      </c>
      <c r="H16" s="60">
        <f>210+14+15</f>
        <v>239</v>
      </c>
      <c r="I16" s="60">
        <f t="shared" si="0"/>
        <v>845.23999999999978</v>
      </c>
      <c r="J16" s="61">
        <f t="shared" si="2"/>
        <v>845.23999999999978</v>
      </c>
      <c r="K16" s="80" t="s">
        <v>80</v>
      </c>
      <c r="L16" s="62">
        <f>J16</f>
        <v>845.23999999999978</v>
      </c>
      <c r="M16" s="63"/>
      <c r="N16" s="63"/>
      <c r="O16" s="64">
        <v>159.483</v>
      </c>
      <c r="P16" s="65">
        <f>O16*M3</f>
        <v>763.92357000000004</v>
      </c>
      <c r="Q16" s="66"/>
      <c r="R16" s="66">
        <f t="shared" ref="R16:R18" si="3">L16-O16</f>
        <v>685.75699999999983</v>
      </c>
      <c r="S16" s="67">
        <f>R16*M3</f>
        <v>3284.7760299999991</v>
      </c>
    </row>
    <row r="17" spans="1:19" ht="31.5" hidden="1" customHeight="1" x14ac:dyDescent="0.25">
      <c r="A17" s="57">
        <v>45108</v>
      </c>
      <c r="B17" s="58">
        <v>3375.7</v>
      </c>
      <c r="C17" s="58">
        <v>221.5</v>
      </c>
      <c r="D17" s="59" t="s">
        <v>36</v>
      </c>
      <c r="E17" s="58" t="s">
        <v>23</v>
      </c>
      <c r="F17" s="60">
        <v>4638.6400000000003</v>
      </c>
      <c r="G17" s="60">
        <f>4223</f>
        <v>4223</v>
      </c>
      <c r="H17" s="60">
        <f>190+14+15</f>
        <v>219</v>
      </c>
      <c r="I17" s="60">
        <f t="shared" si="0"/>
        <v>196.64000000000033</v>
      </c>
      <c r="J17" s="61">
        <f t="shared" si="2"/>
        <v>196.64000000000033</v>
      </c>
      <c r="K17" s="80" t="s">
        <v>81</v>
      </c>
      <c r="L17" s="62">
        <f>J17</f>
        <v>196.64000000000033</v>
      </c>
      <c r="M17" s="63"/>
      <c r="N17" s="63"/>
      <c r="O17" s="64">
        <v>159.483</v>
      </c>
      <c r="P17" s="65">
        <f>O17*M3</f>
        <v>763.92357000000004</v>
      </c>
      <c r="Q17" s="66"/>
      <c r="R17" s="66">
        <f t="shared" si="3"/>
        <v>37.157000000000323</v>
      </c>
      <c r="S17" s="67">
        <f>R17*M3</f>
        <v>177.98203000000154</v>
      </c>
    </row>
    <row r="18" spans="1:19" ht="31.5" hidden="1" customHeight="1" x14ac:dyDescent="0.25">
      <c r="A18" s="57">
        <v>45139</v>
      </c>
      <c r="B18" s="58">
        <v>3375.7</v>
      </c>
      <c r="C18" s="58">
        <v>221.5</v>
      </c>
      <c r="D18" s="59" t="s">
        <v>36</v>
      </c>
      <c r="E18" s="58" t="s">
        <v>23</v>
      </c>
      <c r="F18" s="60">
        <v>5600.4</v>
      </c>
      <c r="G18" s="60">
        <f>3965</f>
        <v>3965</v>
      </c>
      <c r="H18" s="60">
        <f>150+14+15</f>
        <v>179</v>
      </c>
      <c r="I18" s="60">
        <f t="shared" si="0"/>
        <v>1456.3999999999996</v>
      </c>
      <c r="J18" s="61">
        <f t="shared" si="2"/>
        <v>1456.3999999999996</v>
      </c>
      <c r="K18" s="80" t="s">
        <v>82</v>
      </c>
      <c r="L18" s="62">
        <f>J18</f>
        <v>1456.3999999999996</v>
      </c>
      <c r="M18" s="63"/>
      <c r="N18" s="63"/>
      <c r="O18" s="64">
        <v>159.483</v>
      </c>
      <c r="P18" s="65">
        <f>O18*M3</f>
        <v>763.92357000000004</v>
      </c>
      <c r="Q18" s="66"/>
      <c r="R18" s="66">
        <f t="shared" si="3"/>
        <v>1296.9169999999997</v>
      </c>
      <c r="S18" s="67">
        <f>R18*M3</f>
        <v>6212.2324299999982</v>
      </c>
    </row>
    <row r="19" spans="1:19" ht="31.5" hidden="1" customHeight="1" x14ac:dyDescent="0.25">
      <c r="A19" s="57">
        <v>45170</v>
      </c>
      <c r="B19" s="58">
        <v>3375.7</v>
      </c>
      <c r="C19" s="58">
        <v>221.5</v>
      </c>
      <c r="D19" s="59" t="s">
        <v>36</v>
      </c>
      <c r="E19" s="58" t="s">
        <v>23</v>
      </c>
      <c r="F19" s="60">
        <v>5438.8</v>
      </c>
      <c r="G19" s="60">
        <f>4070+4731+1367</f>
        <v>10168</v>
      </c>
      <c r="H19" s="60">
        <f>165+14+15</f>
        <v>194</v>
      </c>
      <c r="I19" s="60">
        <f t="shared" si="0"/>
        <v>-4923.2</v>
      </c>
      <c r="J19" s="61">
        <f t="shared" si="2"/>
        <v>-4923.2</v>
      </c>
      <c r="K19" s="80" t="s">
        <v>83</v>
      </c>
      <c r="L19" s="62">
        <v>0</v>
      </c>
      <c r="M19" s="63"/>
      <c r="N19" s="63"/>
      <c r="O19" s="64">
        <v>159.483</v>
      </c>
      <c r="P19" s="65">
        <f>O19*M3</f>
        <v>763.92357000000004</v>
      </c>
      <c r="Q19" s="66">
        <f t="shared" ref="Q19:Q22" si="4">L19-O19</f>
        <v>-159.483</v>
      </c>
      <c r="R19" s="66"/>
      <c r="S19" s="67">
        <f>Q19*M3</f>
        <v>-763.92357000000004</v>
      </c>
    </row>
    <row r="20" spans="1:19" ht="31.5" hidden="1" customHeight="1" x14ac:dyDescent="0.25">
      <c r="A20" s="57">
        <v>45200</v>
      </c>
      <c r="B20" s="58">
        <v>3375.7</v>
      </c>
      <c r="C20" s="58">
        <v>221.5</v>
      </c>
      <c r="D20" s="59" t="s">
        <v>36</v>
      </c>
      <c r="E20" s="58" t="s">
        <v>23</v>
      </c>
      <c r="F20" s="60">
        <v>6175.04</v>
      </c>
      <c r="G20" s="60">
        <f>6814+448+146</f>
        <v>7408</v>
      </c>
      <c r="H20" s="60">
        <f>160+14+15</f>
        <v>189</v>
      </c>
      <c r="I20" s="60">
        <f t="shared" si="0"/>
        <v>-1421.96</v>
      </c>
      <c r="J20" s="61">
        <f>I20+J19</f>
        <v>-6345.16</v>
      </c>
      <c r="K20" s="80" t="s">
        <v>84</v>
      </c>
      <c r="L20" s="62">
        <v>0</v>
      </c>
      <c r="M20" s="63"/>
      <c r="N20" s="63"/>
      <c r="O20" s="64">
        <v>159.483</v>
      </c>
      <c r="P20" s="65">
        <f>O20*M3</f>
        <v>763.92357000000004</v>
      </c>
      <c r="Q20" s="66">
        <f t="shared" si="4"/>
        <v>-159.483</v>
      </c>
      <c r="R20" s="66"/>
      <c r="S20" s="67">
        <f>S17+S18</f>
        <v>6390.2144600000001</v>
      </c>
    </row>
    <row r="21" spans="1:19" ht="31.5" hidden="1" customHeight="1" x14ac:dyDescent="0.25">
      <c r="A21" s="57">
        <v>45231</v>
      </c>
      <c r="B21" s="58">
        <v>3375.7</v>
      </c>
      <c r="C21" s="58">
        <v>221.5</v>
      </c>
      <c r="D21" s="59" t="s">
        <v>36</v>
      </c>
      <c r="E21" s="58" t="s">
        <v>23</v>
      </c>
      <c r="F21" s="60">
        <v>5950.4</v>
      </c>
      <c r="G21" s="60">
        <f>4417+448+146</f>
        <v>5011</v>
      </c>
      <c r="H21" s="60">
        <f>170+14+15</f>
        <v>199</v>
      </c>
      <c r="I21" s="60">
        <f t="shared" si="0"/>
        <v>740.39999999999964</v>
      </c>
      <c r="J21" s="61">
        <f>I21+J20</f>
        <v>-5604.76</v>
      </c>
      <c r="K21" s="80" t="s">
        <v>85</v>
      </c>
      <c r="L21" s="62">
        <v>0</v>
      </c>
      <c r="M21" s="63"/>
      <c r="N21" s="63"/>
      <c r="O21" s="64">
        <v>159.483</v>
      </c>
      <c r="P21" s="65">
        <f>O21*M3</f>
        <v>763.92357000000004</v>
      </c>
      <c r="Q21" s="66">
        <f t="shared" si="4"/>
        <v>-159.483</v>
      </c>
      <c r="R21" s="66"/>
      <c r="S21" s="67">
        <f>Q21*M3</f>
        <v>-763.92357000000004</v>
      </c>
    </row>
    <row r="22" spans="1:19" ht="31.5" hidden="1" customHeight="1" x14ac:dyDescent="0.25">
      <c r="A22" s="57">
        <v>45261</v>
      </c>
      <c r="B22" s="58">
        <v>3375.7</v>
      </c>
      <c r="C22" s="58">
        <v>221.5</v>
      </c>
      <c r="D22" s="59" t="s">
        <v>36</v>
      </c>
      <c r="E22" s="58" t="s">
        <v>23</v>
      </c>
      <c r="F22" s="60">
        <v>5733.28</v>
      </c>
      <c r="G22" s="60">
        <f>5000+448+146</f>
        <v>5594</v>
      </c>
      <c r="H22" s="60">
        <f>183+14+15</f>
        <v>212</v>
      </c>
      <c r="I22" s="60">
        <f t="shared" si="0"/>
        <v>-72.720000000000255</v>
      </c>
      <c r="J22" s="61">
        <f t="shared" si="2"/>
        <v>-72.720000000000255</v>
      </c>
      <c r="K22" s="81" t="s">
        <v>86</v>
      </c>
      <c r="L22" s="62">
        <v>0</v>
      </c>
      <c r="M22" s="63"/>
      <c r="N22" s="63"/>
      <c r="O22" s="64">
        <v>159.483</v>
      </c>
      <c r="P22" s="65">
        <f>O22*M3</f>
        <v>763.92357000000004</v>
      </c>
      <c r="Q22" s="66">
        <f t="shared" si="4"/>
        <v>-159.483</v>
      </c>
      <c r="R22" s="66"/>
      <c r="S22" s="67">
        <f>Q22*M3</f>
        <v>-763.92357000000004</v>
      </c>
    </row>
    <row r="23" spans="1:19" s="20" customFormat="1" ht="31.5" hidden="1" customHeight="1" x14ac:dyDescent="0.25">
      <c r="A23" s="75"/>
      <c r="L23" s="20">
        <f>SUM(L11:L22)</f>
        <v>5279.72</v>
      </c>
      <c r="O23" s="20">
        <f>SUM(O11:O22)</f>
        <v>1913.7959999999996</v>
      </c>
      <c r="P23" s="20">
        <f>SUM(P11:P22)</f>
        <v>9167.0828400000009</v>
      </c>
      <c r="R23" s="20">
        <f>SUM(Q11:R22)</f>
        <v>3365.9239999999991</v>
      </c>
      <c r="S23" s="20">
        <f>SUM(S11:S22)</f>
        <v>23276.913990000005</v>
      </c>
    </row>
    <row r="24" spans="1:19" s="20" customFormat="1" ht="31.5" hidden="1" customHeight="1" x14ac:dyDescent="0.25">
      <c r="A24" s="75"/>
      <c r="L24" s="20">
        <f>L23*M3</f>
        <v>25289.858800000002</v>
      </c>
    </row>
    <row r="25" spans="1:19" s="20" customFormat="1" ht="31.5" hidden="1" customHeight="1" x14ac:dyDescent="0.25">
      <c r="A25" s="75"/>
    </row>
    <row r="26" spans="1:19" ht="15.75" hidden="1" customHeight="1" x14ac:dyDescent="0.25"/>
    <row r="27" spans="1:19" ht="31.5" hidden="1" customHeight="1" x14ac:dyDescent="0.25">
      <c r="A27" s="57">
        <v>45292</v>
      </c>
      <c r="B27" s="58">
        <v>3375.7</v>
      </c>
      <c r="C27" s="58">
        <v>221.5</v>
      </c>
      <c r="D27" s="59" t="s">
        <v>36</v>
      </c>
      <c r="E27" s="58" t="s">
        <v>23</v>
      </c>
      <c r="F27" s="60">
        <f>6645</f>
        <v>6645</v>
      </c>
      <c r="G27" s="60">
        <f>5367</f>
        <v>5367</v>
      </c>
      <c r="H27" s="60">
        <f>322+14+15</f>
        <v>351</v>
      </c>
      <c r="I27" s="60">
        <f t="shared" ref="I27:I38" si="5">F27-(G27+H27)</f>
        <v>927</v>
      </c>
      <c r="J27" s="61">
        <f t="shared" ref="J27:J32" si="6">I27</f>
        <v>927</v>
      </c>
      <c r="K27" s="81" t="s">
        <v>87</v>
      </c>
      <c r="L27" s="62">
        <f>J27</f>
        <v>927</v>
      </c>
      <c r="M27" s="63"/>
      <c r="N27" s="63"/>
      <c r="O27" s="64">
        <v>159.483</v>
      </c>
      <c r="P27" s="65">
        <f>O27*O2</f>
        <v>763.92357000000004</v>
      </c>
      <c r="Q27" s="66"/>
      <c r="R27" s="66">
        <f>L27-O27</f>
        <v>767.51700000000005</v>
      </c>
      <c r="S27" s="67">
        <f>R27*O2</f>
        <v>3676.4064300000005</v>
      </c>
    </row>
    <row r="28" spans="1:19" ht="31.5" hidden="1" customHeight="1" x14ac:dyDescent="0.25">
      <c r="A28" s="57">
        <v>45323</v>
      </c>
      <c r="B28" s="58">
        <v>3375.7</v>
      </c>
      <c r="C28" s="58">
        <v>221.5</v>
      </c>
      <c r="D28" s="59" t="s">
        <v>36</v>
      </c>
      <c r="E28" s="58" t="s">
        <v>23</v>
      </c>
      <c r="F28" s="60">
        <v>5607</v>
      </c>
      <c r="G28" s="60">
        <f>4565</f>
        <v>4565</v>
      </c>
      <c r="H28" s="60">
        <f>180+14+15</f>
        <v>209</v>
      </c>
      <c r="I28" s="60">
        <f t="shared" si="5"/>
        <v>833</v>
      </c>
      <c r="J28" s="61">
        <f t="shared" si="6"/>
        <v>833</v>
      </c>
      <c r="K28" s="82" t="s">
        <v>88</v>
      </c>
      <c r="L28" s="62">
        <f>J28</f>
        <v>833</v>
      </c>
      <c r="M28" s="63"/>
      <c r="N28" s="63"/>
      <c r="O28" s="64">
        <v>159.483</v>
      </c>
      <c r="P28" s="65">
        <f>O28*O2</f>
        <v>763.92357000000004</v>
      </c>
      <c r="Q28" s="66"/>
      <c r="R28" s="66">
        <f>L28-O28</f>
        <v>673.51700000000005</v>
      </c>
      <c r="S28" s="67">
        <f>R28*O2</f>
        <v>3226.1464300000002</v>
      </c>
    </row>
    <row r="29" spans="1:19" ht="31.5" hidden="1" customHeight="1" x14ac:dyDescent="0.25">
      <c r="A29" s="57">
        <v>45352</v>
      </c>
      <c r="B29" s="58">
        <v>3375.7</v>
      </c>
      <c r="C29" s="58">
        <v>221.5</v>
      </c>
      <c r="D29" s="59" t="s">
        <v>36</v>
      </c>
      <c r="E29" s="58" t="s">
        <v>23</v>
      </c>
      <c r="F29" s="60">
        <v>5522</v>
      </c>
      <c r="G29" s="60">
        <v>4775</v>
      </c>
      <c r="H29" s="60">
        <f>170+14+15</f>
        <v>199</v>
      </c>
      <c r="I29" s="60">
        <f>F29-(G29+H29)</f>
        <v>548</v>
      </c>
      <c r="J29" s="61">
        <f t="shared" si="6"/>
        <v>548</v>
      </c>
      <c r="K29" s="80" t="s">
        <v>89</v>
      </c>
      <c r="L29" s="62">
        <f>J29</f>
        <v>548</v>
      </c>
      <c r="M29" s="63"/>
      <c r="N29" s="63"/>
      <c r="O29" s="64">
        <v>159.483</v>
      </c>
      <c r="P29" s="65">
        <f>O29*O2</f>
        <v>763.92357000000004</v>
      </c>
      <c r="Q29" s="66"/>
      <c r="R29" s="66">
        <f>L29-O29</f>
        <v>388.517</v>
      </c>
      <c r="S29" s="67">
        <f>R29*O2</f>
        <v>1860.9964299999999</v>
      </c>
    </row>
    <row r="30" spans="1:19" ht="31.5" hidden="1" customHeight="1" x14ac:dyDescent="0.25">
      <c r="A30" s="57">
        <v>45383</v>
      </c>
      <c r="B30" s="58">
        <v>3375.7</v>
      </c>
      <c r="C30" s="58">
        <v>221.5</v>
      </c>
      <c r="D30" s="59" t="s">
        <v>36</v>
      </c>
      <c r="E30" s="58" t="s">
        <v>23</v>
      </c>
      <c r="F30" s="60">
        <v>5826</v>
      </c>
      <c r="G30" s="60">
        <f>6295</f>
        <v>6295</v>
      </c>
      <c r="H30" s="60">
        <f>180+14+15</f>
        <v>209</v>
      </c>
      <c r="I30" s="60">
        <f>F30-(G30+H30)</f>
        <v>-678</v>
      </c>
      <c r="J30" s="61">
        <f t="shared" si="6"/>
        <v>-678</v>
      </c>
      <c r="K30" s="80" t="s">
        <v>90</v>
      </c>
      <c r="L30" s="62"/>
      <c r="M30" s="63"/>
      <c r="N30" s="63"/>
      <c r="O30" s="64">
        <v>159.483</v>
      </c>
      <c r="P30" s="65">
        <f>O30*O2</f>
        <v>763.92357000000004</v>
      </c>
      <c r="Q30" s="66">
        <f>L30-O30</f>
        <v>-159.483</v>
      </c>
      <c r="R30" s="66"/>
      <c r="S30" s="67">
        <f>R30*O2</f>
        <v>0</v>
      </c>
    </row>
    <row r="31" spans="1:19" ht="31.5" hidden="1" customHeight="1" x14ac:dyDescent="0.25">
      <c r="A31" s="57">
        <v>45413</v>
      </c>
      <c r="B31" s="58">
        <v>3375.7</v>
      </c>
      <c r="C31" s="58">
        <v>221.5</v>
      </c>
      <c r="D31" s="59" t="s">
        <v>36</v>
      </c>
      <c r="E31" s="58" t="s">
        <v>23</v>
      </c>
      <c r="F31" s="60">
        <v>5008</v>
      </c>
      <c r="G31" s="60">
        <f>4748</f>
        <v>4748</v>
      </c>
      <c r="H31" s="60">
        <f>150+14+15</f>
        <v>179</v>
      </c>
      <c r="I31" s="60">
        <f>F31-(G31+H31)</f>
        <v>81</v>
      </c>
      <c r="J31" s="61">
        <f t="shared" si="6"/>
        <v>81</v>
      </c>
      <c r="K31" s="80" t="s">
        <v>91</v>
      </c>
      <c r="L31" s="62">
        <f>IF(J31&lt;0,0,I31)</f>
        <v>81</v>
      </c>
      <c r="M31" s="63"/>
      <c r="N31" s="63"/>
      <c r="O31" s="64">
        <v>159.483</v>
      </c>
      <c r="P31" s="65">
        <f>O31*O2</f>
        <v>763.92357000000004</v>
      </c>
      <c r="Q31" s="66">
        <f t="shared" ref="Q31:Q34" si="7">L31-O31</f>
        <v>-78.483000000000004</v>
      </c>
      <c r="R31" s="66"/>
      <c r="S31" s="67">
        <f>R31*O2</f>
        <v>0</v>
      </c>
    </row>
    <row r="32" spans="1:19" ht="31.5" hidden="1" customHeight="1" x14ac:dyDescent="0.25">
      <c r="A32" s="57">
        <v>45444</v>
      </c>
      <c r="B32" s="58">
        <v>3375.7</v>
      </c>
      <c r="C32" s="58">
        <v>221.5</v>
      </c>
      <c r="D32" s="59" t="s">
        <v>36</v>
      </c>
      <c r="E32" s="58" t="s">
        <v>23</v>
      </c>
      <c r="F32" s="60">
        <v>5266</v>
      </c>
      <c r="G32" s="60">
        <f>4568</f>
        <v>4568</v>
      </c>
      <c r="H32" s="60">
        <f>190+14+15</f>
        <v>219</v>
      </c>
      <c r="I32" s="60">
        <f>F32-(G32+H32)</f>
        <v>479</v>
      </c>
      <c r="J32" s="61">
        <f t="shared" si="6"/>
        <v>479</v>
      </c>
      <c r="K32" s="80" t="s">
        <v>92</v>
      </c>
      <c r="L32" s="62">
        <f>IF(J32&lt;0,0,I32)</f>
        <v>479</v>
      </c>
      <c r="M32" s="63"/>
      <c r="N32" s="63"/>
      <c r="O32" s="64">
        <v>159.483</v>
      </c>
      <c r="P32" s="65">
        <f>O32*O2</f>
        <v>763.92357000000004</v>
      </c>
      <c r="Q32" s="66"/>
      <c r="R32" s="66">
        <f>L32-O32</f>
        <v>319.517</v>
      </c>
      <c r="S32" s="67">
        <f>R32*O2</f>
        <v>1530.4864299999999</v>
      </c>
    </row>
    <row r="33" spans="1:19" ht="31.5" hidden="1" customHeight="1" x14ac:dyDescent="0.25">
      <c r="A33" s="57">
        <v>45474</v>
      </c>
      <c r="B33" s="58">
        <v>3375.7</v>
      </c>
      <c r="C33" s="58">
        <v>221.5</v>
      </c>
      <c r="D33" s="59" t="s">
        <v>36</v>
      </c>
      <c r="E33" s="58" t="s">
        <v>23</v>
      </c>
      <c r="F33" s="60">
        <v>5054</v>
      </c>
      <c r="G33" s="60">
        <f>81+1075+826</f>
        <v>1982</v>
      </c>
      <c r="H33" s="60">
        <f>150+14+15</f>
        <v>179</v>
      </c>
      <c r="I33" s="60">
        <f>F33-(G33+H33)</f>
        <v>2893</v>
      </c>
      <c r="J33" s="61">
        <f>I33</f>
        <v>2893</v>
      </c>
      <c r="K33" s="80" t="s">
        <v>93</v>
      </c>
      <c r="L33" s="62">
        <f>IF(J33&lt;0,0,I33)</f>
        <v>2893</v>
      </c>
      <c r="M33" s="63"/>
      <c r="N33" s="63"/>
      <c r="O33" s="64">
        <v>159.483</v>
      </c>
      <c r="P33" s="65">
        <f>O33*O3</f>
        <v>830.90643</v>
      </c>
      <c r="Q33" s="66"/>
      <c r="R33" s="66">
        <f>L33-O33</f>
        <v>2733.5169999999998</v>
      </c>
      <c r="S33" s="67">
        <f>R33*O3</f>
        <v>14241.62357</v>
      </c>
    </row>
    <row r="34" spans="1:19" ht="31.5" hidden="1" customHeight="1" x14ac:dyDescent="0.25">
      <c r="A34" s="57">
        <v>45505</v>
      </c>
      <c r="B34" s="58">
        <v>3375.7</v>
      </c>
      <c r="C34" s="58">
        <v>221.5</v>
      </c>
      <c r="D34" s="59" t="s">
        <v>36</v>
      </c>
      <c r="E34" s="58" t="s">
        <v>23</v>
      </c>
      <c r="F34" s="60">
        <v>5228</v>
      </c>
      <c r="G34" s="60">
        <f>5284+527+219</f>
        <v>6030</v>
      </c>
      <c r="H34" s="60">
        <f>160+14+15</f>
        <v>189</v>
      </c>
      <c r="I34" s="60">
        <f t="shared" si="5"/>
        <v>-991</v>
      </c>
      <c r="J34" s="61">
        <f t="shared" ref="J34:J35" si="8">I34</f>
        <v>-991</v>
      </c>
      <c r="K34" s="80" t="s">
        <v>94</v>
      </c>
      <c r="L34" s="62">
        <f>IF(J34&lt;0,0,I34)</f>
        <v>0</v>
      </c>
      <c r="M34" s="63"/>
      <c r="N34" s="63"/>
      <c r="O34" s="64">
        <v>159.483</v>
      </c>
      <c r="P34" s="65">
        <f>O34*O3</f>
        <v>830.90643</v>
      </c>
      <c r="Q34" s="66">
        <f t="shared" si="7"/>
        <v>-159.483</v>
      </c>
      <c r="R34" s="66"/>
      <c r="S34" s="67">
        <f>R34*O3</f>
        <v>0</v>
      </c>
    </row>
    <row r="35" spans="1:19" ht="31.5" hidden="1" customHeight="1" x14ac:dyDescent="0.25">
      <c r="A35" s="57">
        <v>45536</v>
      </c>
      <c r="B35" s="58">
        <v>3375.7</v>
      </c>
      <c r="C35" s="58">
        <v>221.5</v>
      </c>
      <c r="D35" s="59" t="s">
        <v>36</v>
      </c>
      <c r="E35" s="58" t="s">
        <v>23</v>
      </c>
      <c r="F35" s="60">
        <v>4679</v>
      </c>
      <c r="G35" s="60">
        <f>5009+527+219</f>
        <v>5755</v>
      </c>
      <c r="H35" s="60">
        <f>190+14+15</f>
        <v>219</v>
      </c>
      <c r="I35" s="60">
        <f t="shared" si="5"/>
        <v>-1295</v>
      </c>
      <c r="J35" s="61">
        <f t="shared" si="8"/>
        <v>-1295</v>
      </c>
      <c r="K35" s="80" t="s">
        <v>95</v>
      </c>
      <c r="L35" s="62">
        <f t="shared" ref="L35:L36" si="9">IF(J34&lt;0,0,I34)</f>
        <v>0</v>
      </c>
      <c r="M35" s="63"/>
      <c r="N35" s="63"/>
      <c r="O35" s="64">
        <v>159.483</v>
      </c>
      <c r="P35" s="65">
        <f>O35*O3</f>
        <v>830.90643</v>
      </c>
      <c r="Q35" s="66">
        <f t="shared" ref="Q35:Q36" si="10">L35-O35</f>
        <v>-159.483</v>
      </c>
      <c r="R35" s="66"/>
      <c r="S35" s="67">
        <f>R35*O3</f>
        <v>0</v>
      </c>
    </row>
    <row r="36" spans="1:19" ht="31.5" hidden="1" customHeight="1" x14ac:dyDescent="0.25">
      <c r="A36" s="57">
        <v>45566</v>
      </c>
      <c r="B36" s="58">
        <v>3375.7</v>
      </c>
      <c r="C36" s="58">
        <v>221.5</v>
      </c>
      <c r="D36" s="59" t="s">
        <v>36</v>
      </c>
      <c r="E36" s="58" t="s">
        <v>23</v>
      </c>
      <c r="F36" s="60">
        <v>6224</v>
      </c>
      <c r="G36" s="60">
        <f>6715+527+219</f>
        <v>7461</v>
      </c>
      <c r="H36" s="60">
        <f>14+15+220</f>
        <v>249</v>
      </c>
      <c r="I36" s="60">
        <f t="shared" si="5"/>
        <v>-1486</v>
      </c>
      <c r="J36" s="61">
        <f>I36</f>
        <v>-1486</v>
      </c>
      <c r="K36" s="80" t="s">
        <v>96</v>
      </c>
      <c r="L36" s="62">
        <f t="shared" si="9"/>
        <v>0</v>
      </c>
      <c r="M36" s="63"/>
      <c r="N36" s="63"/>
      <c r="O36" s="64">
        <v>159.483</v>
      </c>
      <c r="P36" s="65">
        <f>O36*O3</f>
        <v>830.90643</v>
      </c>
      <c r="Q36" s="66">
        <f t="shared" si="10"/>
        <v>-159.483</v>
      </c>
      <c r="R36" s="66"/>
      <c r="S36" s="67">
        <f>R36*O3</f>
        <v>0</v>
      </c>
    </row>
    <row r="37" spans="1:19" ht="31.5" hidden="1" customHeight="1" x14ac:dyDescent="0.25">
      <c r="A37" s="57">
        <v>45597</v>
      </c>
      <c r="B37" s="58">
        <v>3375.7</v>
      </c>
      <c r="C37" s="58">
        <v>221.5</v>
      </c>
      <c r="D37" s="59" t="s">
        <v>36</v>
      </c>
      <c r="E37" s="58" t="s">
        <v>23</v>
      </c>
      <c r="F37" s="60">
        <v>5486</v>
      </c>
      <c r="G37" s="60">
        <f>4343+440+256</f>
        <v>5039</v>
      </c>
      <c r="H37" s="60">
        <f>150+14+15</f>
        <v>179</v>
      </c>
      <c r="I37" s="60">
        <f t="shared" si="5"/>
        <v>268</v>
      </c>
      <c r="J37" s="61">
        <f>I37</f>
        <v>268</v>
      </c>
      <c r="K37" s="80" t="s">
        <v>97</v>
      </c>
      <c r="L37" s="62">
        <f>IF(J37&lt;0,0,I37)</f>
        <v>268</v>
      </c>
      <c r="M37" s="63"/>
      <c r="N37" s="63"/>
      <c r="O37" s="64">
        <v>159.483</v>
      </c>
      <c r="P37" s="65">
        <f>O37*O3</f>
        <v>830.90643</v>
      </c>
      <c r="Q37" s="66"/>
      <c r="R37" s="66">
        <f>L37-O37</f>
        <v>108.517</v>
      </c>
      <c r="S37" s="67">
        <f>R37*O3</f>
        <v>565.37356999999997</v>
      </c>
    </row>
    <row r="38" spans="1:19" ht="31.5" hidden="1" customHeight="1" x14ac:dyDescent="0.25">
      <c r="A38" s="57">
        <v>45627</v>
      </c>
      <c r="B38" s="58">
        <v>3375.7</v>
      </c>
      <c r="C38" s="58">
        <v>221.5</v>
      </c>
      <c r="D38" s="59" t="s">
        <v>36</v>
      </c>
      <c r="E38" s="58" t="s">
        <v>23</v>
      </c>
      <c r="F38" s="60">
        <v>7251</v>
      </c>
      <c r="G38" s="60">
        <f>3279+242+67</f>
        <v>3588</v>
      </c>
      <c r="H38" s="60">
        <f>113+14+15</f>
        <v>142</v>
      </c>
      <c r="I38" s="60">
        <f t="shared" si="5"/>
        <v>3521</v>
      </c>
      <c r="J38" s="61">
        <f t="shared" ref="J38" si="11">I38</f>
        <v>3521</v>
      </c>
      <c r="K38" s="81" t="s">
        <v>98</v>
      </c>
      <c r="L38" s="62">
        <f>IF(J38&lt;0,0,I38)</f>
        <v>3521</v>
      </c>
      <c r="M38" s="63"/>
      <c r="N38" s="63"/>
      <c r="O38" s="64">
        <v>159.483</v>
      </c>
      <c r="P38" s="65">
        <f>O38*O3</f>
        <v>830.90643</v>
      </c>
      <c r="Q38" s="66"/>
      <c r="R38" s="66">
        <f>L38-O38</f>
        <v>3361.5169999999998</v>
      </c>
      <c r="S38" s="67">
        <f>R38*O3</f>
        <v>17513.503570000001</v>
      </c>
    </row>
    <row r="39" spans="1:19" s="20" customFormat="1" ht="31.5" hidden="1" customHeight="1" x14ac:dyDescent="0.25">
      <c r="A39" s="75"/>
      <c r="L39" s="20">
        <f>SUM(L27:L38)</f>
        <v>9550</v>
      </c>
      <c r="O39" s="20">
        <f>SUM(O27:O38)</f>
        <v>1913.7959999999996</v>
      </c>
      <c r="P39" s="20">
        <f>SUM(P27:P38)</f>
        <v>9568.98</v>
      </c>
      <c r="R39" s="20">
        <f>SUM(Q27:R32)</f>
        <v>1911.1020000000003</v>
      </c>
      <c r="S39" s="20">
        <f>SUM(S27:S38)</f>
        <v>42614.53643</v>
      </c>
    </row>
    <row r="40" spans="1:19" s="20" customFormat="1" ht="31.5" hidden="1" customHeight="1" x14ac:dyDescent="0.25">
      <c r="A40" s="75"/>
      <c r="R40" s="20">
        <f>SUM(Q33:R38)</f>
        <v>5725.101999999999</v>
      </c>
    </row>
    <row r="41" spans="1:19" hidden="1" x14ac:dyDescent="0.25"/>
    <row r="42" spans="1:19" ht="31.5" customHeight="1" x14ac:dyDescent="0.25">
      <c r="A42" s="57">
        <v>45658</v>
      </c>
      <c r="B42" s="58">
        <v>3375.7</v>
      </c>
      <c r="C42" s="58">
        <v>221.5</v>
      </c>
      <c r="D42" s="59" t="s">
        <v>36</v>
      </c>
      <c r="E42" s="58" t="s">
        <v>23</v>
      </c>
      <c r="F42" s="60">
        <v>4303</v>
      </c>
      <c r="G42" s="60">
        <f>6181+205+108</f>
        <v>6494</v>
      </c>
      <c r="H42" s="60">
        <f>167+14+15</f>
        <v>196</v>
      </c>
      <c r="I42" s="60">
        <f t="shared" ref="I42:I43" si="12">F42-(G42+H42)</f>
        <v>-2387</v>
      </c>
      <c r="J42" s="61">
        <f t="shared" ref="J42" si="13">I42</f>
        <v>-2387</v>
      </c>
      <c r="K42" s="93" t="s">
        <v>103</v>
      </c>
      <c r="L42" s="62">
        <v>0</v>
      </c>
      <c r="M42" s="63"/>
      <c r="N42" s="63"/>
      <c r="O42" s="64">
        <v>159.483</v>
      </c>
      <c r="P42" s="65">
        <f>O42*R2</f>
        <v>830.90643</v>
      </c>
      <c r="Q42" s="66">
        <f>-O42</f>
        <v>-159.483</v>
      </c>
      <c r="R42" s="66"/>
      <c r="S42" s="92">
        <f>Q42*R2</f>
        <v>-830.90643</v>
      </c>
    </row>
    <row r="43" spans="1:19" ht="31.5" customHeight="1" x14ac:dyDescent="0.25">
      <c r="A43" s="57">
        <v>45689</v>
      </c>
      <c r="B43" s="58">
        <v>3375.7</v>
      </c>
      <c r="C43" s="58">
        <v>221.5</v>
      </c>
      <c r="D43" s="59" t="s">
        <v>36</v>
      </c>
      <c r="E43" s="58" t="s">
        <v>23</v>
      </c>
      <c r="F43" s="60">
        <v>6406</v>
      </c>
      <c r="G43" s="60">
        <f>4554+205+108</f>
        <v>4867</v>
      </c>
      <c r="H43" s="60">
        <f>150+14+15</f>
        <v>179</v>
      </c>
      <c r="I43" s="60">
        <f t="shared" si="12"/>
        <v>1360</v>
      </c>
      <c r="J43" s="61">
        <f>I43+J42</f>
        <v>-1027</v>
      </c>
      <c r="K43" s="93" t="s">
        <v>104</v>
      </c>
      <c r="L43" s="62">
        <v>0</v>
      </c>
      <c r="M43" s="63"/>
      <c r="N43" s="63"/>
      <c r="O43" s="64">
        <v>159.483</v>
      </c>
      <c r="P43" s="65">
        <f>O43*R2</f>
        <v>830.90643</v>
      </c>
      <c r="Q43" s="66">
        <f>L43-O43</f>
        <v>-159.483</v>
      </c>
      <c r="R43" s="66"/>
      <c r="S43" s="92">
        <f>Q43*R2</f>
        <v>-830.90643</v>
      </c>
    </row>
    <row r="44" spans="1:19" ht="31.5" customHeight="1" x14ac:dyDescent="0.25">
      <c r="A44" s="57">
        <v>45717</v>
      </c>
      <c r="B44" s="58">
        <v>3375.7</v>
      </c>
      <c r="C44" s="58">
        <v>221.5</v>
      </c>
      <c r="D44" s="59" t="s">
        <v>36</v>
      </c>
      <c r="E44" s="58" t="s">
        <v>23</v>
      </c>
      <c r="F44" s="60">
        <v>5130</v>
      </c>
      <c r="G44" s="60">
        <f>4560+205+108</f>
        <v>4873</v>
      </c>
      <c r="H44" s="60">
        <f>150+14+15</f>
        <v>179</v>
      </c>
      <c r="I44" s="60">
        <f>F44-(G44+H44)</f>
        <v>78</v>
      </c>
      <c r="J44" s="61">
        <f>J43+I44</f>
        <v>-949</v>
      </c>
      <c r="K44" s="93" t="s">
        <v>105</v>
      </c>
      <c r="L44" s="62">
        <v>0</v>
      </c>
      <c r="M44" s="63"/>
      <c r="N44" s="63"/>
      <c r="O44" s="64">
        <v>159.483</v>
      </c>
      <c r="P44" s="65">
        <f>O44*R2</f>
        <v>830.90643</v>
      </c>
      <c r="Q44" s="66">
        <f>L44-O44</f>
        <v>-159.483</v>
      </c>
      <c r="R44" s="66"/>
      <c r="S44" s="92">
        <f>Q44*R2</f>
        <v>-830.90643</v>
      </c>
    </row>
    <row r="45" spans="1:19" ht="31.5" customHeight="1" x14ac:dyDescent="0.25">
      <c r="A45" s="57">
        <v>45748</v>
      </c>
      <c r="B45" s="58">
        <v>3375.7</v>
      </c>
      <c r="C45" s="58">
        <v>221.5</v>
      </c>
      <c r="D45" s="59" t="s">
        <v>36</v>
      </c>
      <c r="E45" s="58" t="s">
        <v>23</v>
      </c>
      <c r="F45" s="60">
        <v>5206</v>
      </c>
      <c r="G45" s="60">
        <f>6504+468+282</f>
        <v>7254</v>
      </c>
      <c r="H45" s="60">
        <f>120+14+15</f>
        <v>149</v>
      </c>
      <c r="I45" s="60">
        <f>F45-(G45+H45)</f>
        <v>-2197</v>
      </c>
      <c r="J45" s="61">
        <f t="shared" ref="J45:J52" si="14">I45+J44</f>
        <v>-3146</v>
      </c>
      <c r="K45" s="93" t="s">
        <v>106</v>
      </c>
      <c r="L45" s="62">
        <v>0</v>
      </c>
      <c r="M45" s="63"/>
      <c r="N45" s="63"/>
      <c r="O45" s="64">
        <v>159.483</v>
      </c>
      <c r="P45" s="65">
        <f>O45*R2</f>
        <v>830.90643</v>
      </c>
      <c r="Q45" s="66">
        <f>L45-O45</f>
        <v>-159.483</v>
      </c>
      <c r="R45" s="66"/>
      <c r="S45" s="92">
        <f>Q45*R2</f>
        <v>-830.90643</v>
      </c>
    </row>
    <row r="46" spans="1:19" ht="31.5" customHeight="1" x14ac:dyDescent="0.25">
      <c r="A46" s="57">
        <v>45778</v>
      </c>
      <c r="B46" s="58">
        <v>3375.7</v>
      </c>
      <c r="C46" s="58">
        <v>221.5</v>
      </c>
      <c r="D46" s="59" t="s">
        <v>36</v>
      </c>
      <c r="E46" s="58" t="s">
        <v>23</v>
      </c>
      <c r="F46" s="60">
        <v>4691</v>
      </c>
      <c r="G46" s="60">
        <f>4074+256+158</f>
        <v>4488</v>
      </c>
      <c r="H46" s="60">
        <f>130+14+15+17</f>
        <v>176</v>
      </c>
      <c r="I46" s="60">
        <f>F46-(G46+H46)</f>
        <v>27</v>
      </c>
      <c r="J46" s="61">
        <f t="shared" si="14"/>
        <v>-3119</v>
      </c>
      <c r="K46" s="93" t="s">
        <v>107</v>
      </c>
      <c r="L46" s="62">
        <v>0</v>
      </c>
      <c r="M46" s="63"/>
      <c r="N46" s="63"/>
      <c r="O46" s="64">
        <v>159.483</v>
      </c>
      <c r="P46" s="65">
        <f>O46*R2</f>
        <v>830.90643</v>
      </c>
      <c r="Q46" s="66">
        <f t="shared" ref="Q46" si="15">L46-O46</f>
        <v>-159.483</v>
      </c>
      <c r="R46" s="66"/>
      <c r="S46" s="92">
        <f>Q46*R2</f>
        <v>-830.90643</v>
      </c>
    </row>
    <row r="47" spans="1:19" ht="31.5" customHeight="1" x14ac:dyDescent="0.25">
      <c r="A47" s="57">
        <v>45809</v>
      </c>
      <c r="B47" s="58">
        <v>3375.7</v>
      </c>
      <c r="C47" s="58">
        <v>221.5</v>
      </c>
      <c r="D47" s="59" t="s">
        <v>36</v>
      </c>
      <c r="E47" s="58" t="s">
        <v>23</v>
      </c>
      <c r="F47" s="60">
        <v>4916</v>
      </c>
      <c r="G47" s="60">
        <f>4188+207+38</f>
        <v>4433</v>
      </c>
      <c r="H47" s="60">
        <f>127+14+15+17</f>
        <v>173</v>
      </c>
      <c r="I47" s="60">
        <f>F47-(G47+H47)</f>
        <v>310</v>
      </c>
      <c r="J47" s="61">
        <f t="shared" si="14"/>
        <v>-2809</v>
      </c>
      <c r="K47" s="93" t="s">
        <v>108</v>
      </c>
      <c r="L47" s="62">
        <f>IF(J47&lt;0,0,I47)</f>
        <v>0</v>
      </c>
      <c r="M47" s="63"/>
      <c r="N47" s="63"/>
      <c r="O47" s="64">
        <v>159.483</v>
      </c>
      <c r="P47" s="65">
        <f>O47*R2</f>
        <v>830.90643</v>
      </c>
      <c r="Q47" s="66">
        <f>L47-O47</f>
        <v>-159.483</v>
      </c>
      <c r="R47" s="66"/>
      <c r="S47" s="92">
        <f>Q47*R2</f>
        <v>-830.90643</v>
      </c>
    </row>
    <row r="48" spans="1:19" ht="31.5" customHeight="1" x14ac:dyDescent="0.25">
      <c r="A48" s="57">
        <v>45839</v>
      </c>
      <c r="B48" s="58">
        <v>3375.7</v>
      </c>
      <c r="C48" s="58">
        <v>221.5</v>
      </c>
      <c r="D48" s="59" t="s">
        <v>36</v>
      </c>
      <c r="E48" s="58" t="s">
        <v>23</v>
      </c>
      <c r="F48" s="60">
        <v>4552</v>
      </c>
      <c r="G48" s="60">
        <f>4217+275+175</f>
        <v>4667</v>
      </c>
      <c r="H48" s="60">
        <f>120+14+15+17</f>
        <v>166</v>
      </c>
      <c r="I48" s="60">
        <f>F48-(G48+H48)</f>
        <v>-281</v>
      </c>
      <c r="J48" s="61">
        <f t="shared" si="14"/>
        <v>-3090</v>
      </c>
      <c r="K48" s="93" t="s">
        <v>109</v>
      </c>
      <c r="L48" s="62">
        <f>IF(J48&lt;0,0,I48)</f>
        <v>0</v>
      </c>
      <c r="M48" s="63"/>
      <c r="N48" s="63"/>
      <c r="O48" s="64">
        <v>159.483</v>
      </c>
      <c r="P48" s="65">
        <f>O48*R3</f>
        <v>934.57038000000011</v>
      </c>
      <c r="Q48" s="66">
        <f>L48-O48</f>
        <v>-159.483</v>
      </c>
      <c r="R48" s="66"/>
      <c r="S48" s="92">
        <f>Q48*R3</f>
        <v>-934.57038000000011</v>
      </c>
    </row>
    <row r="49" spans="1:19" ht="31.5" customHeight="1" x14ac:dyDescent="0.25">
      <c r="A49" s="57">
        <v>45870</v>
      </c>
      <c r="B49" s="58">
        <v>3375.7</v>
      </c>
      <c r="C49" s="58">
        <v>221.5</v>
      </c>
      <c r="D49" s="59" t="s">
        <v>36</v>
      </c>
      <c r="E49" s="58" t="s">
        <v>23</v>
      </c>
      <c r="F49" s="60">
        <v>5012</v>
      </c>
      <c r="G49" s="60">
        <f>3829+275+175</f>
        <v>4279</v>
      </c>
      <c r="H49" s="60">
        <f>160+14+15+17</f>
        <v>206</v>
      </c>
      <c r="I49" s="60">
        <f t="shared" ref="I49:I53" si="16">F49-(G49+H49)</f>
        <v>527</v>
      </c>
      <c r="J49" s="61">
        <f t="shared" si="14"/>
        <v>-2563</v>
      </c>
      <c r="K49" s="93" t="s">
        <v>113</v>
      </c>
      <c r="L49" s="62">
        <v>0</v>
      </c>
      <c r="M49" s="63"/>
      <c r="N49" s="63"/>
      <c r="O49" s="64">
        <v>159.483</v>
      </c>
      <c r="P49" s="65">
        <f>O49*R3</f>
        <v>934.57038000000011</v>
      </c>
      <c r="Q49" s="66">
        <f t="shared" ref="Q49:Q51" si="17">L49-O49</f>
        <v>-159.483</v>
      </c>
      <c r="R49" s="66"/>
      <c r="S49" s="92">
        <f>Q49*R3</f>
        <v>-934.57038000000011</v>
      </c>
    </row>
    <row r="50" spans="1:19" ht="31.5" customHeight="1" x14ac:dyDescent="0.25">
      <c r="A50" s="57">
        <v>45901</v>
      </c>
      <c r="B50" s="58">
        <v>3375.7</v>
      </c>
      <c r="C50" s="58">
        <v>221.5</v>
      </c>
      <c r="D50" s="59" t="s">
        <v>36</v>
      </c>
      <c r="E50" s="58" t="s">
        <v>23</v>
      </c>
      <c r="F50" s="60">
        <v>4564</v>
      </c>
      <c r="G50" s="60">
        <f>3887+275+175</f>
        <v>4337</v>
      </c>
      <c r="H50" s="60">
        <f>150+14+15+17</f>
        <v>196</v>
      </c>
      <c r="I50" s="60">
        <f t="shared" si="16"/>
        <v>31</v>
      </c>
      <c r="J50" s="61">
        <f t="shared" si="14"/>
        <v>-2532</v>
      </c>
      <c r="K50" s="93" t="s">
        <v>110</v>
      </c>
      <c r="L50" s="62">
        <f t="shared" ref="L50:L51" si="18">IF(J49&lt;0,0,I49)</f>
        <v>0</v>
      </c>
      <c r="M50" s="63"/>
      <c r="N50" s="63"/>
      <c r="O50" s="64">
        <v>159.483</v>
      </c>
      <c r="P50" s="65">
        <f>O50*R3</f>
        <v>934.57038000000011</v>
      </c>
      <c r="Q50" s="66">
        <f t="shared" si="17"/>
        <v>-159.483</v>
      </c>
      <c r="R50" s="66"/>
      <c r="S50" s="92">
        <f>Q50*R3</f>
        <v>-934.57038000000011</v>
      </c>
    </row>
    <row r="51" spans="1:19" ht="31.5" customHeight="1" x14ac:dyDescent="0.25">
      <c r="A51" s="57">
        <v>45931</v>
      </c>
      <c r="B51" s="58">
        <v>3375.7</v>
      </c>
      <c r="C51" s="58">
        <v>221.5</v>
      </c>
      <c r="D51" s="59" t="s">
        <v>36</v>
      </c>
      <c r="E51" s="58" t="s">
        <v>23</v>
      </c>
      <c r="F51" s="60">
        <v>6174</v>
      </c>
      <c r="G51" s="60">
        <f>5014+0+0</f>
        <v>5014</v>
      </c>
      <c r="H51" s="60">
        <f>150+14+15+17</f>
        <v>196</v>
      </c>
      <c r="I51" s="60">
        <f t="shared" si="16"/>
        <v>964</v>
      </c>
      <c r="J51" s="61">
        <f t="shared" si="14"/>
        <v>-1568</v>
      </c>
      <c r="K51" s="93" t="s">
        <v>111</v>
      </c>
      <c r="L51" s="62">
        <f t="shared" si="18"/>
        <v>0</v>
      </c>
      <c r="M51" s="63"/>
      <c r="N51" s="63"/>
      <c r="O51" s="64">
        <v>159.483</v>
      </c>
      <c r="P51" s="65">
        <f>O51*R3</f>
        <v>934.57038000000011</v>
      </c>
      <c r="Q51" s="66">
        <f t="shared" si="17"/>
        <v>-159.483</v>
      </c>
      <c r="R51" s="66"/>
      <c r="S51" s="92">
        <f>Q51*R3</f>
        <v>-934.57038000000011</v>
      </c>
    </row>
    <row r="52" spans="1:19" ht="31.5" customHeight="1" x14ac:dyDescent="0.25">
      <c r="A52" s="57">
        <v>45962</v>
      </c>
      <c r="B52" s="58">
        <v>3375.7</v>
      </c>
      <c r="C52" s="58">
        <v>221.5</v>
      </c>
      <c r="D52" s="59" t="s">
        <v>36</v>
      </c>
      <c r="E52" s="58" t="s">
        <v>23</v>
      </c>
      <c r="F52" s="60">
        <v>5900</v>
      </c>
      <c r="G52" s="60">
        <f>3771</f>
        <v>3771</v>
      </c>
      <c r="H52" s="60">
        <f>160+14+15+17</f>
        <v>206</v>
      </c>
      <c r="I52" s="60">
        <f t="shared" si="16"/>
        <v>1923</v>
      </c>
      <c r="J52" s="61">
        <f t="shared" si="14"/>
        <v>355</v>
      </c>
      <c r="K52" s="93" t="s">
        <v>114</v>
      </c>
      <c r="L52" s="62">
        <f>J52</f>
        <v>355</v>
      </c>
      <c r="M52" s="63"/>
      <c r="N52" s="63"/>
      <c r="O52" s="64">
        <v>159.483</v>
      </c>
      <c r="P52" s="65">
        <f>O52*R3</f>
        <v>934.57038000000011</v>
      </c>
      <c r="Q52" s="66"/>
      <c r="R52" s="66">
        <f>L52-O52</f>
        <v>195.517</v>
      </c>
      <c r="S52" s="92">
        <f>R52*R3</f>
        <v>1145.7296200000001</v>
      </c>
    </row>
    <row r="53" spans="1:19" ht="31.5" customHeight="1" x14ac:dyDescent="0.25">
      <c r="A53" s="57">
        <v>45992</v>
      </c>
      <c r="B53" s="58">
        <v>3375.7</v>
      </c>
      <c r="C53" s="58">
        <v>221.5</v>
      </c>
      <c r="D53" s="59" t="s">
        <v>36</v>
      </c>
      <c r="E53" s="58" t="s">
        <v>23</v>
      </c>
      <c r="F53" s="60">
        <v>5413</v>
      </c>
      <c r="G53" s="60">
        <f>4030+236</f>
        <v>4266</v>
      </c>
      <c r="H53" s="60">
        <f>160+14+15+17</f>
        <v>206</v>
      </c>
      <c r="I53" s="60">
        <f t="shared" si="16"/>
        <v>941</v>
      </c>
      <c r="J53" s="61">
        <f t="shared" ref="J53" si="19">I53</f>
        <v>941</v>
      </c>
      <c r="K53" s="81" t="s">
        <v>112</v>
      </c>
      <c r="L53" s="62">
        <f>IF(J53&lt;0,0,I53)</f>
        <v>941</v>
      </c>
      <c r="M53" s="63"/>
      <c r="N53" s="63"/>
      <c r="O53" s="64">
        <v>159.483</v>
      </c>
      <c r="P53" s="65">
        <f>O53*R3</f>
        <v>934.57038000000011</v>
      </c>
      <c r="Q53" s="66"/>
      <c r="R53" s="66">
        <f>L53-O53</f>
        <v>781.51700000000005</v>
      </c>
      <c r="S53" s="92">
        <f>R53*R3</f>
        <v>4579.6896200000001</v>
      </c>
    </row>
    <row r="54" spans="1:19" s="20" customFormat="1" ht="31.5" customHeight="1" x14ac:dyDescent="0.25">
      <c r="A54" s="75"/>
      <c r="L54" s="20">
        <f>SUM(L42:L53)</f>
        <v>1296</v>
      </c>
      <c r="O54" s="20">
        <f>SUM(O42:O53)</f>
        <v>1913.7959999999996</v>
      </c>
      <c r="P54" s="20">
        <f>SUM(P42:P53)</f>
        <v>10592.860860000001</v>
      </c>
      <c r="Q54" s="95" t="s">
        <v>116</v>
      </c>
      <c r="R54" s="95">
        <f>SUM(Q42:R47)</f>
        <v>-956.89799999999991</v>
      </c>
      <c r="S54" s="96">
        <f>SUM(S42:S47)</f>
        <v>-4985.43858</v>
      </c>
    </row>
    <row r="55" spans="1:19" s="20" customFormat="1" ht="31.5" customHeight="1" x14ac:dyDescent="0.25">
      <c r="A55" s="75"/>
      <c r="Q55" s="97" t="s">
        <v>117</v>
      </c>
      <c r="R55" s="95">
        <f>SUM(Q48:R53)</f>
        <v>339.10200000000003</v>
      </c>
      <c r="S55" s="96">
        <f>SUM(S48:S53)</f>
        <v>1987.1377199999997</v>
      </c>
    </row>
    <row r="56" spans="1:19" x14ac:dyDescent="0.25">
      <c r="K56" s="90"/>
      <c r="Q56" s="97"/>
      <c r="R56" s="97"/>
      <c r="S56" s="97"/>
    </row>
    <row r="57" spans="1:19" x14ac:dyDescent="0.25">
      <c r="K57" s="90"/>
      <c r="Q57" s="97"/>
      <c r="R57" s="95">
        <f>R54+R55</f>
        <v>-617.79599999999982</v>
      </c>
      <c r="S57" s="96">
        <f>S54+S55</f>
        <v>-2998.3008600000003</v>
      </c>
    </row>
    <row r="58" spans="1:19" x14ac:dyDescent="0.25">
      <c r="K58" s="90"/>
    </row>
    <row r="59" spans="1:19" x14ac:dyDescent="0.25">
      <c r="K59" s="90"/>
      <c r="S59">
        <v>0</v>
      </c>
    </row>
    <row r="60" spans="1:19" x14ac:dyDescent="0.25">
      <c r="K60" s="90"/>
    </row>
    <row r="61" spans="1:19" x14ac:dyDescent="0.25">
      <c r="K61" s="90"/>
    </row>
    <row r="62" spans="1:19" x14ac:dyDescent="0.25">
      <c r="K62" s="90"/>
    </row>
    <row r="63" spans="1:19" x14ac:dyDescent="0.25">
      <c r="K63" s="90"/>
    </row>
  </sheetData>
  <sheetProtection algorithmName="SHA-512" hashValue="r0CSiklGG3Vhty1HwYlH982Qu6+mugyp+8tqRp/X4p2S9U1scb6hse/R+47HMzjnQqWILNTwRuEASSxB5uotvQ==" saltValue="ZAw8DaZy5et3/LrPIRvcDw==" spinCount="100000" sheet="1" objects="1" scenarios="1" selectLockedCells="1" selectUnlockedCells="1"/>
  <mergeCells count="23">
    <mergeCell ref="A1:S1"/>
    <mergeCell ref="O4:O5"/>
    <mergeCell ref="P4:P5"/>
    <mergeCell ref="A2:D2"/>
    <mergeCell ref="A4:A5"/>
    <mergeCell ref="B4:B5"/>
    <mergeCell ref="C4:C5"/>
    <mergeCell ref="D4:D5"/>
    <mergeCell ref="E4:E5"/>
    <mergeCell ref="F4:F5"/>
    <mergeCell ref="G4:G5"/>
    <mergeCell ref="H4:H5"/>
    <mergeCell ref="Q4:R4"/>
    <mergeCell ref="I4:I5"/>
    <mergeCell ref="K4:L4"/>
    <mergeCell ref="P2:P3"/>
    <mergeCell ref="S4:S5"/>
    <mergeCell ref="M4:M5"/>
    <mergeCell ref="G2:K2"/>
    <mergeCell ref="G3:K3"/>
    <mergeCell ref="J4:J5"/>
    <mergeCell ref="N4:N5"/>
    <mergeCell ref="S2:S3"/>
  </mergeCells>
  <pageMargins left="0.25" right="0.25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20</vt:lpstr>
      <vt:lpstr> 3</vt:lpstr>
      <vt:lpstr>4</vt:lpstr>
      <vt:lpstr>14В</vt:lpstr>
      <vt:lpstr>16 Б</vt:lpstr>
      <vt:lpstr>16 Г</vt:lpstr>
      <vt:lpstr>14Б</vt:lpstr>
      <vt:lpstr>18 Г</vt:lpstr>
      <vt:lpstr>31</vt:lpstr>
      <vt:lpstr>42 Г</vt:lpstr>
      <vt:lpstr>42 В</vt:lpstr>
      <vt:lpstr>29</vt:lpstr>
      <vt:lpstr>16</vt:lpstr>
      <vt:lpstr>18 В</vt:lpstr>
      <vt:lpstr>33 А</vt:lpstr>
      <vt:lpstr>33 Б</vt:lpstr>
      <vt:lpstr>35</vt:lpstr>
      <vt:lpstr>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Екатерина</cp:lastModifiedBy>
  <cp:lastPrinted>2026-03-23T08:53:58Z</cp:lastPrinted>
  <dcterms:created xsi:type="dcterms:W3CDTF">2015-06-05T18:19:34Z</dcterms:created>
  <dcterms:modified xsi:type="dcterms:W3CDTF">2026-03-23T16:49:25Z</dcterms:modified>
</cp:coreProperties>
</file>