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\Share\ОДН\ОДН Для сайта расчеты корректировок за год\Запароленные для сайта\2025\"/>
    </mc:Choice>
  </mc:AlternateContent>
  <bookViews>
    <workbookView xWindow="28680" yWindow="-120" windowWidth="29040" windowHeight="15840" tabRatio="876"/>
  </bookViews>
  <sheets>
    <sheet name="Кал.ш. 14Б" sheetId="1" r:id="rId1"/>
    <sheet name="Кал.ш. 14В" sheetId="3" r:id="rId2"/>
    <sheet name="Кал.ш. 16" sheetId="4" r:id="rId3"/>
    <sheet name="Кал.ш. 16 Г" sheetId="6" r:id="rId4"/>
    <sheet name="Кал.ш. 18 Г" sheetId="8" r:id="rId5"/>
    <sheet name="Кал.ш. 18 В" sheetId="7" r:id="rId6"/>
    <sheet name="Кал.ш. 33 А" sheetId="10" r:id="rId7"/>
    <sheet name="Кал.ш. 33 Б" sheetId="11" r:id="rId8"/>
    <sheet name="Кал.ш. 35" sheetId="12" r:id="rId9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4" l="1"/>
  <c r="N57" i="8"/>
  <c r="N58" i="8"/>
  <c r="N59" i="8"/>
  <c r="N60" i="8"/>
  <c r="N61" i="8"/>
  <c r="N62" i="8"/>
  <c r="N63" i="8"/>
  <c r="N64" i="8"/>
  <c r="N65" i="8"/>
  <c r="N66" i="8"/>
  <c r="N67" i="8"/>
  <c r="N56" i="8"/>
  <c r="N57" i="6"/>
  <c r="N58" i="6"/>
  <c r="N59" i="6"/>
  <c r="N60" i="6"/>
  <c r="N61" i="6"/>
  <c r="N62" i="6"/>
  <c r="N63" i="6"/>
  <c r="N64" i="6"/>
  <c r="N65" i="6"/>
  <c r="N66" i="6"/>
  <c r="N67" i="6"/>
  <c r="N56" i="6"/>
  <c r="O56" i="6" s="1"/>
  <c r="N107" i="4"/>
  <c r="N87" i="4"/>
  <c r="N89" i="4"/>
  <c r="N91" i="4"/>
  <c r="N93" i="4"/>
  <c r="N95" i="4"/>
  <c r="N97" i="4"/>
  <c r="N99" i="4"/>
  <c r="N101" i="4"/>
  <c r="N103" i="4"/>
  <c r="N105" i="4"/>
  <c r="N85" i="4"/>
  <c r="O68" i="1"/>
  <c r="N58" i="1"/>
  <c r="N59" i="1"/>
  <c r="N60" i="1"/>
  <c r="N61" i="1"/>
  <c r="N62" i="1"/>
  <c r="N63" i="1"/>
  <c r="N64" i="1"/>
  <c r="N65" i="1"/>
  <c r="N66" i="1"/>
  <c r="N67" i="1"/>
  <c r="N68" i="1"/>
  <c r="P68" i="1" s="1"/>
  <c r="N57" i="1"/>
  <c r="N56" i="3"/>
  <c r="P56" i="3" s="1"/>
  <c r="N57" i="3"/>
  <c r="N58" i="3"/>
  <c r="N59" i="3"/>
  <c r="N60" i="3"/>
  <c r="N61" i="3"/>
  <c r="N62" i="3"/>
  <c r="N63" i="3"/>
  <c r="N64" i="3"/>
  <c r="N65" i="3"/>
  <c r="N66" i="3"/>
  <c r="N55" i="3"/>
  <c r="N67" i="3" s="1"/>
  <c r="N68" i="8" l="1"/>
  <c r="N68" i="6"/>
  <c r="F107" i="4" l="1"/>
  <c r="F105" i="4"/>
  <c r="F103" i="4"/>
  <c r="F101" i="4"/>
  <c r="F99" i="4"/>
  <c r="F97" i="4"/>
  <c r="F95" i="4"/>
  <c r="F93" i="4"/>
  <c r="F91" i="4"/>
  <c r="F89" i="4"/>
  <c r="F87" i="4"/>
  <c r="F85" i="4"/>
  <c r="P66" i="1"/>
  <c r="O66" i="1"/>
  <c r="T66" i="1"/>
  <c r="S66" i="1"/>
  <c r="I58" i="1"/>
  <c r="I57" i="1"/>
  <c r="T67" i="8"/>
  <c r="T66" i="8"/>
  <c r="T65" i="8"/>
  <c r="T64" i="8"/>
  <c r="T63" i="8"/>
  <c r="T62" i="8"/>
  <c r="T61" i="8"/>
  <c r="T60" i="8"/>
  <c r="T59" i="8"/>
  <c r="T58" i="8"/>
  <c r="T57" i="8"/>
  <c r="T56" i="8"/>
  <c r="P67" i="8"/>
  <c r="P66" i="8"/>
  <c r="P65" i="8"/>
  <c r="P64" i="8"/>
  <c r="P63" i="8"/>
  <c r="P62" i="8"/>
  <c r="P61" i="8"/>
  <c r="P60" i="8"/>
  <c r="P59" i="8"/>
  <c r="P58" i="8"/>
  <c r="P57" i="8"/>
  <c r="P56" i="8"/>
  <c r="P63" i="6"/>
  <c r="O63" i="6"/>
  <c r="P56" i="6"/>
  <c r="T67" i="6"/>
  <c r="T66" i="6"/>
  <c r="T65" i="6"/>
  <c r="T64" i="6"/>
  <c r="T63" i="6"/>
  <c r="T62" i="6"/>
  <c r="T61" i="6"/>
  <c r="T60" i="6"/>
  <c r="T59" i="6"/>
  <c r="T58" i="6"/>
  <c r="T57" i="6"/>
  <c r="T56" i="6"/>
  <c r="P67" i="6"/>
  <c r="P66" i="6"/>
  <c r="P65" i="6"/>
  <c r="P64" i="6"/>
  <c r="P62" i="6"/>
  <c r="P61" i="6"/>
  <c r="P60" i="6"/>
  <c r="P59" i="6"/>
  <c r="P58" i="6"/>
  <c r="P57" i="6"/>
  <c r="T95" i="4"/>
  <c r="T93" i="4"/>
  <c r="T91" i="4"/>
  <c r="T89" i="4"/>
  <c r="T87" i="4"/>
  <c r="T85" i="4"/>
  <c r="T107" i="4" l="1"/>
  <c r="T105" i="4"/>
  <c r="T103" i="4"/>
  <c r="T101" i="4"/>
  <c r="T109" i="4" s="1"/>
  <c r="T99" i="4"/>
  <c r="S107" i="4"/>
  <c r="S105" i="4"/>
  <c r="S103" i="4"/>
  <c r="S101" i="4"/>
  <c r="S99" i="4"/>
  <c r="T97" i="4"/>
  <c r="S97" i="4"/>
  <c r="S95" i="4"/>
  <c r="S93" i="4"/>
  <c r="S91" i="4"/>
  <c r="S89" i="4"/>
  <c r="S87" i="4"/>
  <c r="S85" i="4"/>
  <c r="O97" i="4"/>
  <c r="P97" i="4"/>
  <c r="P95" i="4"/>
  <c r="P91" i="4"/>
  <c r="P89" i="4"/>
  <c r="P87" i="4"/>
  <c r="P85" i="4"/>
  <c r="P93" i="4"/>
  <c r="P107" i="4"/>
  <c r="P105" i="4"/>
  <c r="P103" i="4"/>
  <c r="P101" i="4"/>
  <c r="P99" i="4"/>
  <c r="O107" i="4"/>
  <c r="O105" i="4"/>
  <c r="O103" i="4"/>
  <c r="O101" i="4"/>
  <c r="O99" i="4"/>
  <c r="O95" i="4"/>
  <c r="O89" i="4"/>
  <c r="O93" i="4"/>
  <c r="O91" i="4"/>
  <c r="O87" i="4"/>
  <c r="O85" i="4"/>
  <c r="I107" i="4"/>
  <c r="I105" i="4"/>
  <c r="I103" i="4"/>
  <c r="I101" i="4"/>
  <c r="I99" i="4"/>
  <c r="I97" i="4"/>
  <c r="I95" i="4"/>
  <c r="I93" i="4"/>
  <c r="I91" i="4"/>
  <c r="I89" i="4"/>
  <c r="I87" i="4"/>
  <c r="I85" i="4"/>
  <c r="T66" i="3"/>
  <c r="T65" i="3"/>
  <c r="T64" i="3"/>
  <c r="T63" i="3"/>
  <c r="T62" i="3"/>
  <c r="T61" i="3"/>
  <c r="T60" i="3"/>
  <c r="T59" i="3"/>
  <c r="T58" i="3"/>
  <c r="T57" i="3"/>
  <c r="T56" i="3"/>
  <c r="T55" i="3"/>
  <c r="P66" i="3"/>
  <c r="P65" i="3"/>
  <c r="P64" i="3"/>
  <c r="P63" i="3"/>
  <c r="P62" i="3"/>
  <c r="P61" i="3"/>
  <c r="P60" i="3"/>
  <c r="P59" i="3"/>
  <c r="P58" i="3"/>
  <c r="P57" i="3"/>
  <c r="P55" i="3"/>
  <c r="P67" i="3" s="1"/>
  <c r="T68" i="1"/>
  <c r="T67" i="1"/>
  <c r="T65" i="1"/>
  <c r="T64" i="1"/>
  <c r="T63" i="1"/>
  <c r="T62" i="1"/>
  <c r="T61" i="1"/>
  <c r="T60" i="1"/>
  <c r="T59" i="1"/>
  <c r="T58" i="1"/>
  <c r="T57" i="1"/>
  <c r="P63" i="1"/>
  <c r="P67" i="1"/>
  <c r="P65" i="1"/>
  <c r="P64" i="1"/>
  <c r="P62" i="1"/>
  <c r="P61" i="1"/>
  <c r="P60" i="1"/>
  <c r="P59" i="1"/>
  <c r="P58" i="1"/>
  <c r="P57" i="1"/>
  <c r="P69" i="1" s="1"/>
  <c r="O56" i="8"/>
  <c r="S67" i="8"/>
  <c r="O67" i="8"/>
  <c r="I67" i="8"/>
  <c r="S66" i="8"/>
  <c r="O66" i="8"/>
  <c r="I66" i="8"/>
  <c r="S65" i="8"/>
  <c r="O65" i="8"/>
  <c r="I65" i="8"/>
  <c r="S64" i="8"/>
  <c r="O64" i="8"/>
  <c r="I64" i="8"/>
  <c r="S63" i="8"/>
  <c r="O63" i="8"/>
  <c r="I63" i="8"/>
  <c r="S62" i="8"/>
  <c r="O62" i="8"/>
  <c r="I62" i="8"/>
  <c r="S61" i="8"/>
  <c r="O61" i="8"/>
  <c r="I61" i="8"/>
  <c r="S60" i="8"/>
  <c r="O60" i="8"/>
  <c r="I60" i="8"/>
  <c r="S59" i="8"/>
  <c r="O59" i="8"/>
  <c r="O68" i="8" s="1"/>
  <c r="I59" i="8"/>
  <c r="S58" i="8"/>
  <c r="O58" i="8"/>
  <c r="I58" i="8"/>
  <c r="S57" i="8"/>
  <c r="O57" i="8"/>
  <c r="I57" i="8"/>
  <c r="T68" i="8"/>
  <c r="S56" i="8"/>
  <c r="I56" i="8"/>
  <c r="S67" i="6"/>
  <c r="O67" i="6"/>
  <c r="I67" i="6"/>
  <c r="S66" i="6"/>
  <c r="O66" i="6"/>
  <c r="I66" i="6"/>
  <c r="S65" i="6"/>
  <c r="O65" i="6"/>
  <c r="I65" i="6"/>
  <c r="S64" i="6"/>
  <c r="O64" i="6"/>
  <c r="I64" i="6"/>
  <c r="S63" i="6"/>
  <c r="I63" i="6"/>
  <c r="S62" i="6"/>
  <c r="O62" i="6"/>
  <c r="I62" i="6"/>
  <c r="S61" i="6"/>
  <c r="O61" i="6"/>
  <c r="I61" i="6"/>
  <c r="S60" i="6"/>
  <c r="O60" i="6"/>
  <c r="O68" i="6" s="1"/>
  <c r="I60" i="6"/>
  <c r="S59" i="6"/>
  <c r="O59" i="6"/>
  <c r="I59" i="6"/>
  <c r="S58" i="6"/>
  <c r="O58" i="6"/>
  <c r="I58" i="6"/>
  <c r="S57" i="6"/>
  <c r="O57" i="6"/>
  <c r="I57" i="6"/>
  <c r="T68" i="6"/>
  <c r="S56" i="6"/>
  <c r="S68" i="6" s="1"/>
  <c r="P68" i="6"/>
  <c r="I56" i="6"/>
  <c r="S62" i="1"/>
  <c r="S61" i="1"/>
  <c r="S60" i="1"/>
  <c r="S59" i="1"/>
  <c r="S58" i="1"/>
  <c r="S57" i="1"/>
  <c r="S68" i="1"/>
  <c r="S67" i="1"/>
  <c r="S65" i="1"/>
  <c r="S64" i="1"/>
  <c r="S63" i="1"/>
  <c r="S66" i="3"/>
  <c r="S65" i="3"/>
  <c r="S64" i="3"/>
  <c r="S63" i="3"/>
  <c r="S62" i="3"/>
  <c r="S61" i="3"/>
  <c r="S60" i="3"/>
  <c r="S59" i="3"/>
  <c r="S58" i="3"/>
  <c r="S57" i="3"/>
  <c r="S56" i="3"/>
  <c r="S55" i="3"/>
  <c r="O66" i="3"/>
  <c r="I66" i="3"/>
  <c r="O65" i="3"/>
  <c r="I65" i="3"/>
  <c r="O64" i="3"/>
  <c r="I64" i="3"/>
  <c r="O63" i="3"/>
  <c r="I63" i="3"/>
  <c r="O62" i="3"/>
  <c r="I62" i="3"/>
  <c r="O61" i="3"/>
  <c r="I61" i="3"/>
  <c r="O60" i="3"/>
  <c r="I60" i="3"/>
  <c r="O59" i="3"/>
  <c r="I59" i="3"/>
  <c r="O58" i="3"/>
  <c r="I58" i="3"/>
  <c r="O57" i="3"/>
  <c r="I57" i="3"/>
  <c r="O56" i="3"/>
  <c r="I56" i="3"/>
  <c r="O55" i="3"/>
  <c r="I55" i="3"/>
  <c r="O67" i="1"/>
  <c r="O65" i="1"/>
  <c r="O64" i="1"/>
  <c r="O63" i="1"/>
  <c r="O62" i="1"/>
  <c r="O61" i="1"/>
  <c r="O60" i="1"/>
  <c r="O59" i="1"/>
  <c r="O58" i="1"/>
  <c r="O57" i="1"/>
  <c r="O69" i="1" s="1"/>
  <c r="I68" i="1"/>
  <c r="I67" i="1"/>
  <c r="I66" i="1"/>
  <c r="I65" i="1"/>
  <c r="I64" i="1"/>
  <c r="I63" i="1"/>
  <c r="I62" i="1"/>
  <c r="I61" i="1"/>
  <c r="I60" i="1"/>
  <c r="I59" i="1"/>
  <c r="S69" i="1" l="1"/>
  <c r="T67" i="3"/>
  <c r="O67" i="3"/>
  <c r="S67" i="3"/>
  <c r="T69" i="3" s="1"/>
  <c r="P68" i="8"/>
  <c r="S68" i="8"/>
  <c r="T70" i="8" s="1"/>
  <c r="T70" i="6"/>
  <c r="T69" i="1"/>
  <c r="O15" i="6"/>
  <c r="O16" i="6"/>
  <c r="O17" i="6"/>
  <c r="O18" i="6"/>
  <c r="O19" i="6"/>
  <c r="O20" i="6"/>
  <c r="O21" i="6"/>
  <c r="O22" i="6"/>
  <c r="O23" i="6"/>
  <c r="O24" i="6"/>
  <c r="O25" i="6"/>
  <c r="O26" i="6"/>
  <c r="N45" i="3"/>
  <c r="N47" i="3"/>
  <c r="N46" i="3"/>
  <c r="S33" i="3"/>
  <c r="T71" i="1" l="1"/>
  <c r="S70" i="4"/>
  <c r="S72" i="4"/>
  <c r="S68" i="4"/>
  <c r="S66" i="4"/>
  <c r="S64" i="4"/>
  <c r="S62" i="4"/>
  <c r="S60" i="4"/>
  <c r="S58" i="4"/>
  <c r="S56" i="4"/>
  <c r="S54" i="4"/>
  <c r="S52" i="4"/>
  <c r="S50" i="4"/>
  <c r="T50" i="4"/>
  <c r="T70" i="4"/>
  <c r="T72" i="4"/>
  <c r="T68" i="4"/>
  <c r="T66" i="4"/>
  <c r="T64" i="4"/>
  <c r="T62" i="4"/>
  <c r="T60" i="4"/>
  <c r="T58" i="4"/>
  <c r="T56" i="4"/>
  <c r="T54" i="4"/>
  <c r="T52" i="4"/>
  <c r="P62" i="4"/>
  <c r="P50" i="4"/>
  <c r="N74" i="4"/>
  <c r="P72" i="4"/>
  <c r="P70" i="4"/>
  <c r="P68" i="4"/>
  <c r="P66" i="4"/>
  <c r="P64" i="4"/>
  <c r="P60" i="4"/>
  <c r="P58" i="4"/>
  <c r="P56" i="4"/>
  <c r="P54" i="4"/>
  <c r="P52" i="4"/>
  <c r="O72" i="4"/>
  <c r="O70" i="4"/>
  <c r="O68" i="4"/>
  <c r="O66" i="4"/>
  <c r="O64" i="4"/>
  <c r="O62" i="4"/>
  <c r="O60" i="4"/>
  <c r="O58" i="4"/>
  <c r="O56" i="4"/>
  <c r="O54" i="4"/>
  <c r="O52" i="4"/>
  <c r="O50" i="4"/>
  <c r="O33" i="8"/>
  <c r="T44" i="8"/>
  <c r="S44" i="8"/>
  <c r="P44" i="8"/>
  <c r="O44" i="8"/>
  <c r="T43" i="8"/>
  <c r="S43" i="8"/>
  <c r="P43" i="8"/>
  <c r="O43" i="8"/>
  <c r="T42" i="8"/>
  <c r="S42" i="8"/>
  <c r="P42" i="8"/>
  <c r="O42" i="8"/>
  <c r="T41" i="8"/>
  <c r="S41" i="8"/>
  <c r="P41" i="8"/>
  <c r="O41" i="8"/>
  <c r="T40" i="8"/>
  <c r="S40" i="8"/>
  <c r="P40" i="8"/>
  <c r="O40" i="8"/>
  <c r="T39" i="8"/>
  <c r="S39" i="8"/>
  <c r="P39" i="8"/>
  <c r="O39" i="8"/>
  <c r="T38" i="8"/>
  <c r="S38" i="8"/>
  <c r="P38" i="8"/>
  <c r="O38" i="8"/>
  <c r="T37" i="8"/>
  <c r="S37" i="8"/>
  <c r="P37" i="8"/>
  <c r="O37" i="8"/>
  <c r="T36" i="8"/>
  <c r="S36" i="8"/>
  <c r="P36" i="8"/>
  <c r="O36" i="8"/>
  <c r="T35" i="8"/>
  <c r="S35" i="8"/>
  <c r="P35" i="8"/>
  <c r="O35" i="8"/>
  <c r="T34" i="8"/>
  <c r="S34" i="8"/>
  <c r="P34" i="8"/>
  <c r="O34" i="8"/>
  <c r="T33" i="8"/>
  <c r="S33" i="8"/>
  <c r="P33" i="8"/>
  <c r="T44" i="6"/>
  <c r="S44" i="6"/>
  <c r="P44" i="6"/>
  <c r="O44" i="6"/>
  <c r="T43" i="6"/>
  <c r="S43" i="6"/>
  <c r="P43" i="6"/>
  <c r="O43" i="6"/>
  <c r="T42" i="6"/>
  <c r="S42" i="6"/>
  <c r="P42" i="6"/>
  <c r="O42" i="6"/>
  <c r="T41" i="6"/>
  <c r="S41" i="6"/>
  <c r="P41" i="6"/>
  <c r="O41" i="6"/>
  <c r="T40" i="6"/>
  <c r="S40" i="6"/>
  <c r="P40" i="6"/>
  <c r="O40" i="6"/>
  <c r="T39" i="6"/>
  <c r="S39" i="6"/>
  <c r="P39" i="6"/>
  <c r="O39" i="6"/>
  <c r="T38" i="6"/>
  <c r="S38" i="6"/>
  <c r="P38" i="6"/>
  <c r="O38" i="6"/>
  <c r="T37" i="6"/>
  <c r="S37" i="6"/>
  <c r="P37" i="6"/>
  <c r="O37" i="6"/>
  <c r="T36" i="6"/>
  <c r="S36" i="6"/>
  <c r="P36" i="6"/>
  <c r="O36" i="6"/>
  <c r="T35" i="6"/>
  <c r="S35" i="6"/>
  <c r="P35" i="6"/>
  <c r="O35" i="6"/>
  <c r="T34" i="6"/>
  <c r="S34" i="6"/>
  <c r="P34" i="6"/>
  <c r="O34" i="6"/>
  <c r="T33" i="6"/>
  <c r="S33" i="6"/>
  <c r="P33" i="6"/>
  <c r="O33" i="6"/>
  <c r="P33" i="3"/>
  <c r="O33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1"/>
  <c r="T44" i="1"/>
  <c r="T43" i="1"/>
  <c r="T42" i="1"/>
  <c r="T41" i="1"/>
  <c r="T40" i="1"/>
  <c r="T39" i="1"/>
  <c r="T38" i="1"/>
  <c r="T37" i="1"/>
  <c r="T36" i="1"/>
  <c r="T35" i="1"/>
  <c r="T34" i="1"/>
  <c r="T33" i="1"/>
  <c r="S44" i="1"/>
  <c r="S43" i="1"/>
  <c r="S42" i="1"/>
  <c r="S41" i="1"/>
  <c r="S40" i="1"/>
  <c r="S38" i="1"/>
  <c r="S39" i="1"/>
  <c r="S37" i="1"/>
  <c r="S36" i="1"/>
  <c r="S35" i="1"/>
  <c r="S34" i="1"/>
  <c r="N45" i="8"/>
  <c r="N45" i="6"/>
  <c r="N45" i="1"/>
  <c r="O33" i="1"/>
  <c r="O36" i="1"/>
  <c r="O35" i="1"/>
  <c r="O44" i="1"/>
  <c r="O43" i="1"/>
  <c r="O42" i="1"/>
  <c r="O41" i="1"/>
  <c r="O40" i="1"/>
  <c r="O39" i="1"/>
  <c r="O38" i="1"/>
  <c r="O37" i="1"/>
  <c r="O34" i="1"/>
  <c r="P44" i="1"/>
  <c r="P43" i="1"/>
  <c r="P42" i="1"/>
  <c r="P41" i="1"/>
  <c r="P40" i="1"/>
  <c r="P39" i="1"/>
  <c r="P38" i="1"/>
  <c r="P37" i="1"/>
  <c r="P36" i="1"/>
  <c r="P35" i="1"/>
  <c r="P34" i="1"/>
  <c r="P33" i="1"/>
  <c r="T74" i="4" l="1"/>
  <c r="S74" i="4"/>
  <c r="T76" i="4" s="1"/>
  <c r="N47" i="8"/>
  <c r="N46" i="8"/>
  <c r="N47" i="6"/>
  <c r="N46" i="6"/>
  <c r="N47" i="1"/>
  <c r="N46" i="1"/>
  <c r="N75" i="4"/>
  <c r="N76" i="4"/>
  <c r="T45" i="1"/>
  <c r="P45" i="1"/>
  <c r="O45" i="1"/>
  <c r="I44" i="8"/>
  <c r="I44" i="6"/>
  <c r="F72" i="4"/>
  <c r="I72" i="4" s="1"/>
  <c r="I44" i="3"/>
  <c r="I44" i="1"/>
  <c r="I42" i="8"/>
  <c r="I43" i="8"/>
  <c r="I43" i="6"/>
  <c r="F70" i="4"/>
  <c r="I70" i="4" s="1"/>
  <c r="I43" i="3"/>
  <c r="I43" i="1"/>
  <c r="I42" i="6"/>
  <c r="F68" i="4"/>
  <c r="I68" i="4" s="1"/>
  <c r="I42" i="3"/>
  <c r="I42" i="1"/>
  <c r="I41" i="8"/>
  <c r="I41" i="6"/>
  <c r="F66" i="4"/>
  <c r="I66" i="4" s="1"/>
  <c r="I41" i="3"/>
  <c r="I41" i="1"/>
  <c r="I40" i="8"/>
  <c r="I40" i="6"/>
  <c r="F64" i="4"/>
  <c r="I64" i="4" s="1"/>
  <c r="I40" i="3"/>
  <c r="I40" i="1"/>
  <c r="I39" i="8"/>
  <c r="I39" i="6"/>
  <c r="I62" i="4"/>
  <c r="F62" i="4"/>
  <c r="I39" i="3"/>
  <c r="I39" i="1"/>
  <c r="I38" i="8"/>
  <c r="I38" i="6"/>
  <c r="F60" i="4"/>
  <c r="I60" i="4" s="1"/>
  <c r="I38" i="3"/>
  <c r="I38" i="1"/>
  <c r="I37" i="8"/>
  <c r="I37" i="6"/>
  <c r="F58" i="4"/>
  <c r="I58" i="4" s="1"/>
  <c r="I37" i="3"/>
  <c r="I37" i="1"/>
  <c r="I36" i="1"/>
  <c r="I36" i="3"/>
  <c r="I36" i="6"/>
  <c r="I36" i="8"/>
  <c r="F56" i="4"/>
  <c r="I56" i="4" s="1"/>
  <c r="F54" i="4" l="1"/>
  <c r="I54" i="4" s="1"/>
  <c r="F52" i="4"/>
  <c r="I52" i="4" s="1"/>
  <c r="F50" i="4"/>
  <c r="I50" i="4" s="1"/>
  <c r="I25" i="1"/>
  <c r="I35" i="8"/>
  <c r="I34" i="8"/>
  <c r="I33" i="8"/>
  <c r="I35" i="6"/>
  <c r="I34" i="6"/>
  <c r="I33" i="6"/>
  <c r="I35" i="3"/>
  <c r="I34" i="3"/>
  <c r="I33" i="3"/>
  <c r="I35" i="1" l="1"/>
  <c r="I34" i="1"/>
  <c r="I33" i="1"/>
  <c r="O22" i="8" l="1"/>
  <c r="P26" i="8"/>
  <c r="P23" i="8"/>
  <c r="P22" i="8"/>
  <c r="P21" i="8"/>
  <c r="P19" i="8"/>
  <c r="P25" i="8"/>
  <c r="P24" i="8"/>
  <c r="P20" i="8"/>
  <c r="P18" i="8"/>
  <c r="P17" i="8"/>
  <c r="P16" i="8"/>
  <c r="P15" i="8"/>
  <c r="O26" i="8"/>
  <c r="O25" i="8"/>
  <c r="O24" i="8"/>
  <c r="O23" i="8"/>
  <c r="O21" i="8"/>
  <c r="O20" i="8"/>
  <c r="O19" i="8"/>
  <c r="O18" i="8"/>
  <c r="O17" i="8"/>
  <c r="O16" i="8"/>
  <c r="O15" i="8"/>
  <c r="Q16" i="8"/>
  <c r="T16" i="8" s="1"/>
  <c r="Q17" i="8"/>
  <c r="T17" i="8" s="1"/>
  <c r="Q18" i="8"/>
  <c r="T18" i="8" s="1"/>
  <c r="Q19" i="8"/>
  <c r="Q20" i="8"/>
  <c r="T20" i="8" s="1"/>
  <c r="Q21" i="8"/>
  <c r="S21" i="8" s="1"/>
  <c r="Q22" i="8"/>
  <c r="T22" i="8" s="1"/>
  <c r="Q23" i="8"/>
  <c r="T23" i="8" s="1"/>
  <c r="Q24" i="8"/>
  <c r="S24" i="8" s="1"/>
  <c r="Q25" i="8"/>
  <c r="S25" i="8" s="1"/>
  <c r="Q26" i="8"/>
  <c r="T26" i="8" s="1"/>
  <c r="Q15" i="8"/>
  <c r="T15" i="8" s="1"/>
  <c r="T19" i="8"/>
  <c r="F41" i="4"/>
  <c r="F39" i="4"/>
  <c r="I17" i="8"/>
  <c r="I22" i="6"/>
  <c r="I21" i="6"/>
  <c r="I20" i="6"/>
  <c r="I19" i="6"/>
  <c r="I18" i="6"/>
  <c r="I17" i="6"/>
  <c r="I16" i="6"/>
  <c r="I15" i="6"/>
  <c r="I18" i="1"/>
  <c r="I17" i="1"/>
  <c r="F37" i="4"/>
  <c r="I37" i="4" s="1"/>
  <c r="F35" i="4"/>
  <c r="I35" i="4" s="1"/>
  <c r="F33" i="4"/>
  <c r="I33" i="4" s="1"/>
  <c r="F31" i="4"/>
  <c r="I31" i="4" s="1"/>
  <c r="F29" i="4"/>
  <c r="I29" i="4" s="1"/>
  <c r="F27" i="4"/>
  <c r="I27" i="4" s="1"/>
  <c r="F25" i="4"/>
  <c r="I25" i="4" s="1"/>
  <c r="G23" i="4"/>
  <c r="F23" i="4"/>
  <c r="F21" i="4"/>
  <c r="I21" i="4" s="1"/>
  <c r="F19" i="4"/>
  <c r="I19" i="4" s="1"/>
  <c r="I15" i="3"/>
  <c r="I26" i="8"/>
  <c r="I25" i="8"/>
  <c r="I24" i="8"/>
  <c r="I23" i="8"/>
  <c r="I22" i="8"/>
  <c r="I21" i="8"/>
  <c r="I20" i="8"/>
  <c r="S19" i="8"/>
  <c r="I19" i="8"/>
  <c r="I18" i="8"/>
  <c r="I16" i="8"/>
  <c r="S15" i="8"/>
  <c r="I15" i="8"/>
  <c r="P39" i="4"/>
  <c r="P31" i="4"/>
  <c r="P41" i="4"/>
  <c r="P37" i="4"/>
  <c r="P35" i="4"/>
  <c r="P33" i="4"/>
  <c r="P29" i="4"/>
  <c r="P27" i="4"/>
  <c r="P25" i="4"/>
  <c r="P23" i="4"/>
  <c r="P21" i="4"/>
  <c r="O27" i="4"/>
  <c r="O41" i="4"/>
  <c r="O39" i="4"/>
  <c r="O37" i="4"/>
  <c r="O35" i="4"/>
  <c r="O33" i="4"/>
  <c r="O31" i="4"/>
  <c r="O29" i="4"/>
  <c r="O25" i="4"/>
  <c r="O23" i="4"/>
  <c r="O21" i="4"/>
  <c r="O19" i="4"/>
  <c r="Q19" i="4"/>
  <c r="S19" i="4" s="1"/>
  <c r="P19" i="4"/>
  <c r="Q26" i="3"/>
  <c r="S26" i="3" s="1"/>
  <c r="P26" i="3"/>
  <c r="O26" i="3"/>
  <c r="Q25" i="3"/>
  <c r="S25" i="3" s="1"/>
  <c r="P25" i="3"/>
  <c r="O25" i="3"/>
  <c r="Q24" i="3"/>
  <c r="T24" i="3" s="1"/>
  <c r="P24" i="3"/>
  <c r="O24" i="3"/>
  <c r="Q23" i="3"/>
  <c r="S23" i="3" s="1"/>
  <c r="P23" i="3"/>
  <c r="O23" i="3"/>
  <c r="Q22" i="3"/>
  <c r="T22" i="3" s="1"/>
  <c r="P22" i="3"/>
  <c r="O22" i="3"/>
  <c r="Q21" i="3"/>
  <c r="S21" i="3" s="1"/>
  <c r="P21" i="3"/>
  <c r="O21" i="3"/>
  <c r="Q20" i="3"/>
  <c r="T20" i="3" s="1"/>
  <c r="P20" i="3"/>
  <c r="O20" i="3"/>
  <c r="Q19" i="3"/>
  <c r="S19" i="3" s="1"/>
  <c r="P19" i="3"/>
  <c r="O19" i="3"/>
  <c r="Q18" i="3"/>
  <c r="S18" i="3" s="1"/>
  <c r="P18" i="3"/>
  <c r="O18" i="3"/>
  <c r="Q17" i="3"/>
  <c r="S17" i="3" s="1"/>
  <c r="P17" i="3"/>
  <c r="O17" i="3"/>
  <c r="Q16" i="3"/>
  <c r="T16" i="3" s="1"/>
  <c r="P16" i="3"/>
  <c r="O16" i="3"/>
  <c r="Q15" i="3"/>
  <c r="S15" i="3" s="1"/>
  <c r="P15" i="3"/>
  <c r="O15" i="3"/>
  <c r="Q26" i="1"/>
  <c r="T26" i="1" s="1"/>
  <c r="P26" i="1"/>
  <c r="O26" i="1"/>
  <c r="Q25" i="1"/>
  <c r="T25" i="1" s="1"/>
  <c r="P25" i="1"/>
  <c r="O25" i="1"/>
  <c r="Q24" i="1"/>
  <c r="S24" i="1" s="1"/>
  <c r="P24" i="1"/>
  <c r="O24" i="1"/>
  <c r="Q23" i="1"/>
  <c r="T23" i="1" s="1"/>
  <c r="P23" i="1"/>
  <c r="O23" i="1"/>
  <c r="Q22" i="1"/>
  <c r="T22" i="1" s="1"/>
  <c r="P22" i="1"/>
  <c r="O22" i="1"/>
  <c r="Q21" i="1"/>
  <c r="T21" i="1" s="1"/>
  <c r="P21" i="1"/>
  <c r="O21" i="1"/>
  <c r="Q20" i="1"/>
  <c r="S20" i="1" s="1"/>
  <c r="P20" i="1"/>
  <c r="O20" i="1"/>
  <c r="Q19" i="1"/>
  <c r="T19" i="1" s="1"/>
  <c r="P19" i="1"/>
  <c r="O19" i="1"/>
  <c r="Q18" i="1"/>
  <c r="T18" i="1" s="1"/>
  <c r="P18" i="1"/>
  <c r="O18" i="1"/>
  <c r="Q17" i="1"/>
  <c r="S17" i="1" s="1"/>
  <c r="P17" i="1"/>
  <c r="O17" i="1"/>
  <c r="Q16" i="1"/>
  <c r="S16" i="1" s="1"/>
  <c r="P16" i="1"/>
  <c r="O16" i="1"/>
  <c r="Q15" i="1"/>
  <c r="T15" i="1" s="1"/>
  <c r="P15" i="1"/>
  <c r="O15" i="1"/>
  <c r="O27" i="6"/>
  <c r="P17" i="6"/>
  <c r="P26" i="6"/>
  <c r="P25" i="6"/>
  <c r="P24" i="6"/>
  <c r="P23" i="6"/>
  <c r="P22" i="6"/>
  <c r="P21" i="6"/>
  <c r="P20" i="6"/>
  <c r="P19" i="6"/>
  <c r="P18" i="6"/>
  <c r="P16" i="6"/>
  <c r="P15" i="6"/>
  <c r="Q16" i="6"/>
  <c r="T16" i="6" s="1"/>
  <c r="Q17" i="6"/>
  <c r="S17" i="6" s="1"/>
  <c r="Q18" i="6"/>
  <c r="S18" i="6" s="1"/>
  <c r="Q19" i="6"/>
  <c r="S19" i="6" s="1"/>
  <c r="Q20" i="6"/>
  <c r="T20" i="6" s="1"/>
  <c r="Q21" i="6"/>
  <c r="S21" i="6" s="1"/>
  <c r="Q22" i="6"/>
  <c r="S22" i="6" s="1"/>
  <c r="I23" i="6"/>
  <c r="Q23" i="6"/>
  <c r="S23" i="6" s="1"/>
  <c r="I24" i="6"/>
  <c r="Q24" i="6"/>
  <c r="S24" i="6" s="1"/>
  <c r="I25" i="6"/>
  <c r="Q25" i="6"/>
  <c r="S25" i="6" s="1"/>
  <c r="I26" i="6"/>
  <c r="Q26" i="6"/>
  <c r="S26" i="6" s="1"/>
  <c r="Q15" i="6"/>
  <c r="T15" i="6" s="1"/>
  <c r="Q41" i="4"/>
  <c r="S41" i="4" s="1"/>
  <c r="I41" i="4"/>
  <c r="Q39" i="4"/>
  <c r="I39" i="4"/>
  <c r="Q37" i="4"/>
  <c r="S37" i="4" s="1"/>
  <c r="Q35" i="4"/>
  <c r="T35" i="4" s="1"/>
  <c r="Q33" i="4"/>
  <c r="T33" i="4" s="1"/>
  <c r="Q31" i="4"/>
  <c r="T31" i="4" s="1"/>
  <c r="Q29" i="4"/>
  <c r="S29" i="4" s="1"/>
  <c r="Q27" i="4"/>
  <c r="T27" i="4" s="1"/>
  <c r="Q25" i="4"/>
  <c r="T25" i="4" s="1"/>
  <c r="Q23" i="4"/>
  <c r="T23" i="4" s="1"/>
  <c r="Q21" i="4"/>
  <c r="T21" i="4" s="1"/>
  <c r="I16" i="3"/>
  <c r="I17" i="3"/>
  <c r="I18" i="3"/>
  <c r="I19" i="3"/>
  <c r="I20" i="3"/>
  <c r="I21" i="3"/>
  <c r="I22" i="3"/>
  <c r="I23" i="3"/>
  <c r="I24" i="3"/>
  <c r="I25" i="3"/>
  <c r="I26" i="3"/>
  <c r="I15" i="1"/>
  <c r="I16" i="1"/>
  <c r="I19" i="1"/>
  <c r="I20" i="1"/>
  <c r="I21" i="1"/>
  <c r="I22" i="1"/>
  <c r="I23" i="1"/>
  <c r="I24" i="1"/>
  <c r="I26" i="1"/>
  <c r="S23" i="8" l="1"/>
  <c r="T39" i="4"/>
  <c r="I23" i="4"/>
  <c r="S20" i="8"/>
  <c r="P27" i="1"/>
  <c r="S21" i="1"/>
  <c r="P27" i="3"/>
  <c r="S22" i="3"/>
  <c r="T37" i="4"/>
  <c r="T25" i="8"/>
  <c r="P27" i="6"/>
  <c r="P43" i="4"/>
  <c r="S20" i="6"/>
  <c r="S16" i="8"/>
  <c r="T24" i="8"/>
  <c r="O43" i="4"/>
  <c r="T25" i="6"/>
  <c r="O27" i="1"/>
  <c r="O27" i="3"/>
  <c r="T17" i="3"/>
  <c r="T16" i="1"/>
  <c r="T25" i="3"/>
  <c r="S35" i="4"/>
  <c r="T21" i="3"/>
  <c r="T20" i="1"/>
  <c r="T24" i="1"/>
  <c r="T18" i="3"/>
  <c r="T26" i="3"/>
  <c r="T18" i="6"/>
  <c r="T22" i="6"/>
  <c r="T26" i="6"/>
  <c r="S27" i="4"/>
  <c r="T17" i="6"/>
  <c r="S25" i="1"/>
  <c r="S21" i="4"/>
  <c r="T29" i="4"/>
  <c r="S18" i="8"/>
  <c r="S22" i="8"/>
  <c r="S26" i="8"/>
  <c r="S15" i="6"/>
  <c r="S23" i="4"/>
  <c r="S31" i="4"/>
  <c r="S39" i="4"/>
  <c r="T17" i="1"/>
  <c r="T15" i="3"/>
  <c r="T19" i="3"/>
  <c r="T23" i="3"/>
  <c r="T19" i="6"/>
  <c r="T23" i="6"/>
  <c r="T21" i="8"/>
  <c r="T19" i="4"/>
  <c r="T21" i="6"/>
  <c r="S20" i="3"/>
  <c r="T41" i="4"/>
  <c r="S16" i="6"/>
  <c r="S16" i="3"/>
  <c r="S24" i="3"/>
  <c r="S25" i="4"/>
  <c r="S33" i="4"/>
  <c r="S17" i="8"/>
  <c r="T24" i="6"/>
  <c r="S45" i="1"/>
  <c r="T47" i="1" s="1"/>
  <c r="O27" i="8"/>
  <c r="P27" i="8"/>
  <c r="S18" i="1"/>
  <c r="S22" i="1"/>
  <c r="S26" i="1"/>
  <c r="S15" i="1"/>
  <c r="S19" i="1"/>
  <c r="S23" i="1"/>
  <c r="Q8" i="12"/>
  <c r="S8" i="12" s="1"/>
  <c r="S109" i="4" l="1"/>
  <c r="T111" i="4" s="1"/>
  <c r="T27" i="8"/>
  <c r="S27" i="3"/>
  <c r="T27" i="1"/>
  <c r="O45" i="8"/>
  <c r="O45" i="6"/>
  <c r="S27" i="8"/>
  <c r="S43" i="4"/>
  <c r="S45" i="8"/>
  <c r="T27" i="3"/>
  <c r="T45" i="6"/>
  <c r="P45" i="8"/>
  <c r="P45" i="6"/>
  <c r="T45" i="3"/>
  <c r="P45" i="3"/>
  <c r="S27" i="6"/>
  <c r="T27" i="6"/>
  <c r="T45" i="8"/>
  <c r="T43" i="4"/>
  <c r="S27" i="1"/>
  <c r="T29" i="1" s="1"/>
  <c r="S45" i="3"/>
  <c r="O45" i="3"/>
  <c r="S45" i="6"/>
  <c r="Q8" i="3"/>
  <c r="Q8" i="6"/>
  <c r="T45" i="4" l="1"/>
  <c r="T29" i="3"/>
  <c r="T29" i="8"/>
  <c r="T47" i="8"/>
  <c r="T47" i="3"/>
  <c r="T29" i="6"/>
  <c r="T47" i="6"/>
  <c r="O11" i="8"/>
  <c r="Q9" i="10"/>
  <c r="Q8" i="10"/>
  <c r="S8" i="10" s="1"/>
  <c r="Q10" i="7"/>
  <c r="Q9" i="7"/>
  <c r="Q8" i="7"/>
  <c r="O14" i="4"/>
  <c r="O11" i="3"/>
  <c r="O11" i="1"/>
  <c r="O11" i="6"/>
  <c r="S8" i="6"/>
  <c r="T8" i="6"/>
  <c r="P11" i="1"/>
  <c r="P10" i="1"/>
  <c r="P9" i="1"/>
  <c r="P8" i="1"/>
  <c r="P14" i="4"/>
  <c r="P12" i="4"/>
  <c r="P10" i="4"/>
  <c r="P8" i="4"/>
  <c r="T8" i="1"/>
  <c r="S8" i="1"/>
  <c r="P12" i="1" l="1"/>
  <c r="T8" i="10"/>
  <c r="Q12" i="7"/>
  <c r="P16" i="4"/>
  <c r="I8" i="1"/>
  <c r="L9" i="7" l="1"/>
  <c r="L8" i="7"/>
  <c r="N8" i="7" s="1"/>
  <c r="L11" i="7"/>
  <c r="M8" i="7" l="1"/>
  <c r="I11" i="12"/>
  <c r="I10" i="12"/>
  <c r="I9" i="12"/>
  <c r="I8" i="12"/>
  <c r="I11" i="11"/>
  <c r="I10" i="11"/>
  <c r="I9" i="11"/>
  <c r="I8" i="11"/>
  <c r="I11" i="10"/>
  <c r="I10" i="10"/>
  <c r="I9" i="10"/>
  <c r="I8" i="10"/>
  <c r="I11" i="8"/>
  <c r="I10" i="8"/>
  <c r="I9" i="8"/>
  <c r="I8" i="8"/>
  <c r="I11" i="7"/>
  <c r="I10" i="7"/>
  <c r="I9" i="7"/>
  <c r="I8" i="7"/>
  <c r="S8" i="7" s="1"/>
  <c r="I11" i="6"/>
  <c r="I10" i="6"/>
  <c r="I9" i="6"/>
  <c r="I8" i="6"/>
  <c r="I10" i="4"/>
  <c r="I12" i="4"/>
  <c r="I14" i="4"/>
  <c r="I8" i="4"/>
  <c r="Q10" i="1"/>
  <c r="Q11" i="1"/>
  <c r="Q9" i="1"/>
  <c r="T8" i="7" l="1"/>
  <c r="U8" i="7"/>
  <c r="S9" i="7"/>
  <c r="S9" i="1"/>
  <c r="T9" i="1"/>
  <c r="S11" i="1"/>
  <c r="T11" i="1"/>
  <c r="T10" i="1"/>
  <c r="S10" i="1"/>
  <c r="P9" i="12"/>
  <c r="P8" i="12"/>
  <c r="P9" i="11"/>
  <c r="P8" i="11"/>
  <c r="P9" i="10"/>
  <c r="P10" i="8"/>
  <c r="P11" i="8"/>
  <c r="P9" i="6"/>
  <c r="P10" i="6"/>
  <c r="P11" i="6"/>
  <c r="O8" i="6"/>
  <c r="O8" i="3"/>
  <c r="P9" i="3"/>
  <c r="I11" i="3"/>
  <c r="I10" i="3"/>
  <c r="I9" i="3"/>
  <c r="I8" i="3"/>
  <c r="I9" i="1"/>
  <c r="I10" i="1"/>
  <c r="I11" i="1"/>
  <c r="O10" i="1"/>
  <c r="O9" i="1"/>
  <c r="O8" i="1"/>
  <c r="P12" i="12" l="1"/>
  <c r="O12" i="1"/>
  <c r="P12" i="11"/>
  <c r="P10" i="7"/>
  <c r="R10" i="7"/>
  <c r="U9" i="7"/>
  <c r="T9" i="7"/>
  <c r="P9" i="7"/>
  <c r="P8" i="7"/>
  <c r="Q10" i="3"/>
  <c r="S10" i="3" s="1"/>
  <c r="P10" i="3"/>
  <c r="Q9" i="8"/>
  <c r="S9" i="8" s="1"/>
  <c r="P9" i="8"/>
  <c r="T8" i="3"/>
  <c r="P8" i="3"/>
  <c r="Q8" i="8"/>
  <c r="T8" i="8" s="1"/>
  <c r="P8" i="8"/>
  <c r="P12" i="8" s="1"/>
  <c r="O8" i="10"/>
  <c r="P8" i="10"/>
  <c r="P12" i="10" s="1"/>
  <c r="Q11" i="3"/>
  <c r="S11" i="3" s="1"/>
  <c r="P11" i="3"/>
  <c r="P8" i="6"/>
  <c r="P12" i="6" s="1"/>
  <c r="O9" i="8"/>
  <c r="O10" i="3"/>
  <c r="Q11" i="6"/>
  <c r="O10" i="8"/>
  <c r="Q10" i="8"/>
  <c r="O9" i="12"/>
  <c r="Q9" i="12"/>
  <c r="Q11" i="8"/>
  <c r="O8" i="8"/>
  <c r="O9" i="10"/>
  <c r="O8" i="11"/>
  <c r="O12" i="11" s="1"/>
  <c r="Q8" i="11"/>
  <c r="O8" i="12"/>
  <c r="O9" i="11"/>
  <c r="Q9" i="11"/>
  <c r="O9" i="3"/>
  <c r="Q9" i="3"/>
  <c r="O10" i="6"/>
  <c r="Q10" i="6"/>
  <c r="S8" i="3"/>
  <c r="O9" i="6"/>
  <c r="Q9" i="6"/>
  <c r="S9" i="6" s="1"/>
  <c r="S12" i="1"/>
  <c r="T12" i="1"/>
  <c r="O12" i="4"/>
  <c r="Q12" i="4"/>
  <c r="O10" i="4"/>
  <c r="Q10" i="4"/>
  <c r="Q14" i="4"/>
  <c r="O8" i="4"/>
  <c r="Q8" i="4"/>
  <c r="P12" i="3" l="1"/>
  <c r="T10" i="3"/>
  <c r="O12" i="6"/>
  <c r="O12" i="3"/>
  <c r="P12" i="7"/>
  <c r="O12" i="12"/>
  <c r="O12" i="10"/>
  <c r="O12" i="8"/>
  <c r="S10" i="4"/>
  <c r="T10" i="4"/>
  <c r="O16" i="4"/>
  <c r="S12" i="4"/>
  <c r="T12" i="4"/>
  <c r="S14" i="4"/>
  <c r="T14" i="4"/>
  <c r="S8" i="4"/>
  <c r="T8" i="4"/>
  <c r="U10" i="7"/>
  <c r="U12" i="7" s="1"/>
  <c r="T10" i="7"/>
  <c r="T12" i="7" s="1"/>
  <c r="T11" i="3"/>
  <c r="S8" i="8"/>
  <c r="T9" i="8"/>
  <c r="T9" i="6"/>
  <c r="S10" i="6"/>
  <c r="T10" i="6"/>
  <c r="T9" i="11"/>
  <c r="S9" i="11"/>
  <c r="T8" i="12"/>
  <c r="T9" i="10"/>
  <c r="T12" i="10" s="1"/>
  <c r="S9" i="10"/>
  <c r="S12" i="10" s="1"/>
  <c r="T10" i="8"/>
  <c r="S10" i="8"/>
  <c r="S8" i="11"/>
  <c r="T8" i="11"/>
  <c r="T12" i="11" s="1"/>
  <c r="T9" i="3"/>
  <c r="S9" i="3"/>
  <c r="S12" i="3" s="1"/>
  <c r="T11" i="8"/>
  <c r="S11" i="8"/>
  <c r="S9" i="12"/>
  <c r="T9" i="12"/>
  <c r="T11" i="6"/>
  <c r="S11" i="6"/>
  <c r="T14" i="1"/>
  <c r="T12" i="3" l="1"/>
  <c r="T14" i="3" s="1"/>
  <c r="T14" i="10"/>
  <c r="S12" i="8"/>
  <c r="T16" i="4"/>
  <c r="S16" i="4"/>
  <c r="U14" i="7"/>
  <c r="T12" i="6"/>
  <c r="S12" i="6"/>
  <c r="T12" i="12"/>
  <c r="S12" i="11"/>
  <c r="T14" i="11" s="1"/>
  <c r="T12" i="8"/>
  <c r="S12" i="12"/>
  <c r="T14" i="8" l="1"/>
  <c r="T14" i="12"/>
  <c r="T18" i="4"/>
  <c r="T14" i="6"/>
</calcChain>
</file>

<file path=xl/sharedStrings.xml><?xml version="1.0" encoding="utf-8"?>
<sst xmlns="http://schemas.openxmlformats.org/spreadsheetml/2006/main" count="879" uniqueCount="83">
  <si>
    <t>Вид коммунального ресурса учитываемого  ОДПУ</t>
  </si>
  <si>
    <t>номер и дата счета РСО за отчетный период</t>
  </si>
  <si>
    <t>Площадь жилых и не жилых помещений расположенных в МКД (кв/м)</t>
  </si>
  <si>
    <t xml:space="preserve">Отчетный месяц </t>
  </si>
  <si>
    <t>Разница между объемом потребления по ОДПУ и нормативом выставленного жителям МКД за отчетный период переходящего на следующий отчетный месяц</t>
  </si>
  <si>
    <t>Калининское шоссе, д. 14Б</t>
  </si>
  <si>
    <r>
      <t xml:space="preserve">Данные по ОДПУ за отчетный период </t>
    </r>
    <r>
      <rPr>
        <b/>
        <sz val="11"/>
        <color theme="1"/>
        <rFont val="Calibri"/>
        <family val="2"/>
        <charset val="204"/>
        <scheme val="minor"/>
      </rPr>
      <t>согласно журнала</t>
    </r>
    <r>
      <rPr>
        <sz val="11"/>
        <color theme="1"/>
        <rFont val="Calibri"/>
        <family val="2"/>
        <scheme val="minor"/>
      </rPr>
      <t xml:space="preserve"> УК  и переданные в адрес РСО для учета </t>
    </r>
    <r>
      <rPr>
        <sz val="11"/>
        <color rgb="FFFF0000"/>
        <rFont val="Calibri"/>
        <family val="2"/>
        <charset val="204"/>
        <scheme val="minor"/>
      </rPr>
      <t>(Общий объем потребления по ОДПУ)</t>
    </r>
  </si>
  <si>
    <r>
      <t>Объем потребленного ресурса за отчетный период</t>
    </r>
    <r>
      <rPr>
        <sz val="11"/>
        <color rgb="FFFF0000"/>
        <rFont val="Calibri"/>
        <family val="2"/>
        <charset val="204"/>
        <scheme val="minor"/>
      </rPr>
      <t xml:space="preserve">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</si>
  <si>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r>
      <t xml:space="preserve">Объем потребленного ресурса за отчетный период </t>
    </r>
    <r>
      <rPr>
        <sz val="11"/>
        <color rgb="FFFF0000"/>
        <rFont val="Calibri"/>
        <family val="2"/>
        <charset val="204"/>
        <scheme val="minor"/>
      </rPr>
      <t>не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</si>
  <si>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t>Объем ОДН КР на СОИ за минусом индивидуального потребления (расчетные на основании журнала и данных РСО ) 
ст.  6 - (7+8)</t>
  </si>
  <si>
    <t>Площадь ОИ для рачета ОДН</t>
  </si>
  <si>
    <t>Данные о Коллективном приборе учета установленном в МКД
 (серийный номер)</t>
  </si>
  <si>
    <t>Калининское шоссе, д. 14В</t>
  </si>
  <si>
    <t>Тариф с 01.07.2022</t>
  </si>
  <si>
    <t>Калининское шоссе, д. 16</t>
  </si>
  <si>
    <t>Калининское шоссе, д. 16 Г</t>
  </si>
  <si>
    <t>Калининское шоссе, д. 18 В</t>
  </si>
  <si>
    <t>Калининское шоссе, д. 18 Г</t>
  </si>
  <si>
    <t>Калининское шоссе, д. 33 А</t>
  </si>
  <si>
    <t>Калининское шоссе, д. 33 Б</t>
  </si>
  <si>
    <t>Калининское шоссе, д. 35</t>
  </si>
  <si>
    <t>ХВС</t>
  </si>
  <si>
    <t xml:space="preserve"> ОДН КР ХВ на СОИ выставленного РСО в бухгалтерских документах  в адрес УК </t>
  </si>
  <si>
    <t>Объем ОДН КР ХВ на СОИ выставленного РСО в адрес УК</t>
  </si>
  <si>
    <t>Объем ОДН КР ХВ на СОИ  приходящегося на 1 кв.м. площади (куб.м.)</t>
  </si>
  <si>
    <t>Размер ОДН КР ХВ на СОИ  приходящегося на 1 кв.м. площади
 (руб/1 кв.м.)</t>
  </si>
  <si>
    <t>Размер  ОДН КР ХВ на СОИ  выставленного в адрес жителей МКД по нормативу потребления (руб)</t>
  </si>
  <si>
    <t>14573245</t>
  </si>
  <si>
    <t>14572043</t>
  </si>
  <si>
    <t>130809070</t>
  </si>
  <si>
    <t>130809508</t>
  </si>
  <si>
    <t>14572095</t>
  </si>
  <si>
    <t>Приказ РЭК Тверской области № 450-нп от 16.12.2021</t>
  </si>
  <si>
    <t>ОСВ</t>
  </si>
  <si>
    <t>Приказ РЭК Тверской области № 283-нп от 25.11.2022</t>
  </si>
  <si>
    <t>Тариф с 01.12.2022</t>
  </si>
  <si>
    <t>№5997 от 31.10.22</t>
  </si>
  <si>
    <t>№ 7291 от 31.12.22</t>
  </si>
  <si>
    <t>по нормативу выставлено  больше чем по ОДПУ</t>
  </si>
  <si>
    <r>
      <rPr>
        <sz val="11"/>
        <color theme="1"/>
        <rFont val="Calibri"/>
        <family val="2"/>
        <scheme val="minor"/>
      </rPr>
      <t>по нормативу выставлено в адрес жителей меньше чем по ОДПУ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</si>
  <si>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t>Размер корректировки по ОДН КР ОСВ на СОИ  (руб.) (ст.16*тариф)</t>
  </si>
  <si>
    <t>Перерасчет в пользу Потребителей</t>
  </si>
  <si>
    <t>Перерасчет в пользу УК</t>
  </si>
  <si>
    <t>Размер  ОДН КР ОСВ на СОИ  выставленного в адрес жителей МКД по нормативу потребления (руб)</t>
  </si>
  <si>
    <t>Объем ОДН КР ХВ/ОСВ на СОИ  выставленного в адрес жителей МКД по нормативу потребления 
(куб.м.)</t>
  </si>
  <si>
    <t>отрицательные показания на начало периода</t>
  </si>
  <si>
    <t>ИТОГО:</t>
  </si>
  <si>
    <t>не выставлен РСО (по результатам сверки)</t>
  </si>
  <si>
    <t>Размер ОДН КР ОСВ  на СОИ  приходящегося на 1 кв.м. площади
 (руб/1 кв.м.)</t>
  </si>
  <si>
    <t>Расчет по ОДПУ с 12.2022</t>
  </si>
  <si>
    <t>Расчет по ОДПУ с 11.2022</t>
  </si>
  <si>
    <t>Размер корректировки по ОДН КР ХВ на СОИ  (руб.) (ст.17 или ст. 18*тариф)</t>
  </si>
  <si>
    <t>Размер корректировки по ОДН КР ОСВ на СОИ  (руб.)                                              (ст.17 или ст. 18*тариф)</t>
  </si>
  <si>
    <t>Размер корректировки по ОДН КР ХВ на СОИ  (руб.)                                 (ст.17 или ст. 18*тариф)</t>
  </si>
  <si>
    <t>14573246</t>
  </si>
  <si>
    <t>14573247</t>
  </si>
  <si>
    <t>14573248</t>
  </si>
  <si>
    <t>14573249</t>
  </si>
  <si>
    <t>14573250</t>
  </si>
  <si>
    <t>14573251</t>
  </si>
  <si>
    <t>14573252</t>
  </si>
  <si>
    <t>14573253</t>
  </si>
  <si>
    <t>14573254</t>
  </si>
  <si>
    <t>14573255</t>
  </si>
  <si>
    <t>14573256</t>
  </si>
  <si>
    <t>14572044</t>
  </si>
  <si>
    <t>14572045</t>
  </si>
  <si>
    <t>14572046</t>
  </si>
  <si>
    <t>14572047</t>
  </si>
  <si>
    <t>14572048</t>
  </si>
  <si>
    <t>14572049</t>
  </si>
  <si>
    <t>14572050</t>
  </si>
  <si>
    <t>14572051</t>
  </si>
  <si>
    <t>14572052</t>
  </si>
  <si>
    <t>14572053</t>
  </si>
  <si>
    <t>14572054</t>
  </si>
  <si>
    <t>Тариф с 01.01.2025</t>
  </si>
  <si>
    <t>Тариф с 01.07.2025</t>
  </si>
  <si>
    <t>Приказ РЭК Тверской области №220-нп от 22.11.2024</t>
  </si>
  <si>
    <r>
      <t xml:space="preserve">Данные по ОДПУ за отчетный период </t>
    </r>
    <r>
      <rPr>
        <b/>
        <sz val="11"/>
        <rFont val="Calibri"/>
        <family val="2"/>
        <scheme val="minor"/>
      </rPr>
      <t>согласно журнала</t>
    </r>
    <r>
      <rPr>
        <sz val="11"/>
        <rFont val="Calibri"/>
        <family val="2"/>
        <scheme val="minor"/>
      </rPr>
      <t xml:space="preserve"> УК  и переданные в адрес РСО для учета (Общий объем потребления по ОДПУ)</t>
    </r>
  </si>
  <si>
    <t>Объем потребленного ресурса за отчетный период жилыми помещениями (на основании данных РСО)</t>
  </si>
  <si>
    <t>Объем потребленного ресурса за отчетный период не жилыми помещениями (На основании данных РСО)</t>
  </si>
  <si>
    <r>
      <t xml:space="preserve">по нормативу выставлено в адрес жителей меньше чем по ОДПУ </t>
    </r>
    <r>
      <rPr>
        <b/>
        <sz val="11"/>
        <rFont val="Calibri"/>
        <family val="2"/>
        <scheme val="minor"/>
      </rPr>
      <t>свернорматив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</si>
</sst>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0.0000"/>
    <numFmt numFmtId="167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2" fontId="0" fillId="0" borderId="1" xfId="0" applyNumberFormat="1" applyBorder="1"/>
    <xf numFmtId="4" fontId="0" fillId="0" borderId="1" xfId="0" applyNumberFormat="1" applyBorder="1"/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/>
    <xf numFmtId="2" fontId="9" fillId="0" borderId="1" xfId="0" applyNumberFormat="1" applyFont="1" applyBorder="1"/>
    <xf numFmtId="0" fontId="0" fillId="0" borderId="1" xfId="0" applyBorder="1" applyAlignment="1">
      <alignment horizontal="right"/>
    </xf>
    <xf numFmtId="165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2" xfId="0" applyBorder="1"/>
    <xf numFmtId="167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/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6" fontId="10" fillId="0" borderId="0" xfId="0" applyNumberFormat="1" applyFont="1"/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0" xfId="0" applyNumberFormat="1"/>
    <xf numFmtId="165" fontId="10" fillId="0" borderId="0" xfId="0" applyNumberFormat="1" applyFont="1"/>
    <xf numFmtId="2" fontId="10" fillId="0" borderId="0" xfId="0" applyNumberFormat="1" applyFont="1"/>
    <xf numFmtId="165" fontId="10" fillId="0" borderId="0" xfId="2" applyNumberFormat="1" applyFont="1" applyFill="1"/>
    <xf numFmtId="165" fontId="0" fillId="0" borderId="1" xfId="0" applyNumberFormat="1" applyBorder="1" applyAlignment="1">
      <alignment horizontal="right"/>
    </xf>
    <xf numFmtId="167" fontId="0" fillId="0" borderId="0" xfId="0" applyNumberFormat="1"/>
    <xf numFmtId="165" fontId="0" fillId="2" borderId="2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0" xfId="0" applyFill="1"/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Alignment="1">
      <alignment horizontal="center" vertical="center"/>
    </xf>
    <xf numFmtId="2" fontId="11" fillId="0" borderId="1" xfId="0" applyNumberFormat="1" applyFont="1" applyBorder="1"/>
    <xf numFmtId="164" fontId="0" fillId="0" borderId="0" xfId="0" applyNumberFormat="1"/>
    <xf numFmtId="0" fontId="9" fillId="0" borderId="0" xfId="0" applyFont="1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167" fontId="0" fillId="0" borderId="2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3" fontId="0" fillId="0" borderId="10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0" fillId="0" borderId="12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topLeftCell="A52" zoomScale="70" zoomScaleNormal="70" workbookViewId="0">
      <selection activeCell="E87" sqref="E87"/>
    </sheetView>
  </sheetViews>
  <sheetFormatPr defaultRowHeight="15" x14ac:dyDescent="0.25"/>
  <cols>
    <col min="1" max="1" width="12" style="2" customWidth="1"/>
    <col min="2" max="2" width="16.7109375" customWidth="1"/>
    <col min="3" max="3" width="11.85546875" customWidth="1"/>
    <col min="4" max="4" width="19.85546875" customWidth="1"/>
    <col min="5" max="5" width="15.28515625" customWidth="1"/>
    <col min="6" max="6" width="24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17" customWidth="1"/>
    <col min="14" max="14" width="18.28515625" customWidth="1"/>
    <col min="15" max="15" width="17" customWidth="1"/>
    <col min="16" max="16" width="20.7109375" customWidth="1"/>
    <col min="17" max="17" width="21.7109375" customWidth="1"/>
    <col min="18" max="18" width="17.85546875" customWidth="1"/>
    <col min="19" max="19" width="17" customWidth="1"/>
    <col min="20" max="20" width="17.1406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hidden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hidden="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58" t="s">
        <v>21</v>
      </c>
      <c r="R2" s="58" t="s">
        <v>33</v>
      </c>
      <c r="S2" s="27"/>
    </row>
    <row r="3" spans="1:20" ht="16.5" hidden="1" customHeight="1" x14ac:dyDescent="0.25">
      <c r="A3" s="68" t="s">
        <v>5</v>
      </c>
      <c r="B3" s="68"/>
      <c r="C3" s="68"/>
      <c r="D3" s="68"/>
      <c r="H3" s="69" t="s">
        <v>32</v>
      </c>
      <c r="I3" s="69"/>
      <c r="J3" s="69"/>
      <c r="K3" s="69"/>
      <c r="L3" s="69"/>
      <c r="M3" s="69"/>
      <c r="N3" s="30" t="s">
        <v>13</v>
      </c>
      <c r="O3" s="31">
        <v>17.64</v>
      </c>
      <c r="P3" s="30">
        <v>26.93</v>
      </c>
      <c r="Q3" s="59">
        <v>21.16</v>
      </c>
      <c r="R3" s="57">
        <v>29.02</v>
      </c>
    </row>
    <row r="4" spans="1:20" ht="16.5" hidden="1" customHeight="1" x14ac:dyDescent="0.25">
      <c r="H4" s="69" t="s">
        <v>34</v>
      </c>
      <c r="I4" s="69"/>
      <c r="J4" s="69"/>
      <c r="K4" s="69"/>
      <c r="L4" s="69"/>
      <c r="M4" s="69"/>
      <c r="N4" s="30" t="s">
        <v>35</v>
      </c>
      <c r="O4" s="30">
        <v>21.16</v>
      </c>
      <c r="P4" s="30">
        <v>29.02</v>
      </c>
      <c r="Q4" s="57">
        <v>23.46</v>
      </c>
      <c r="R4" s="57">
        <v>31.01</v>
      </c>
    </row>
    <row r="5" spans="1:20" ht="83.25" hidden="1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hidden="1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71"/>
      <c r="Q6" s="3" t="s">
        <v>38</v>
      </c>
      <c r="R6" s="3" t="s">
        <v>39</v>
      </c>
      <c r="S6" s="64"/>
      <c r="T6" s="64"/>
    </row>
    <row r="7" spans="1:20" hidden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ht="30.75" hidden="1" customHeight="1" x14ac:dyDescent="0.25">
      <c r="A8" s="5">
        <v>44805</v>
      </c>
      <c r="B8" s="8">
        <v>2773.9</v>
      </c>
      <c r="C8" s="8">
        <v>298.39999999999998</v>
      </c>
      <c r="D8" s="21" t="s">
        <v>27</v>
      </c>
      <c r="E8" s="8" t="s">
        <v>21</v>
      </c>
      <c r="F8" s="56">
        <v>566</v>
      </c>
      <c r="G8" s="56">
        <v>521.91300000000001</v>
      </c>
      <c r="H8" s="16">
        <v>0</v>
      </c>
      <c r="I8" s="16">
        <f>F8-(G8+H8)</f>
        <v>44.086999999999989</v>
      </c>
      <c r="J8" s="72" t="s">
        <v>45</v>
      </c>
      <c r="K8" s="73"/>
      <c r="L8" s="23"/>
      <c r="M8" s="15"/>
      <c r="N8" s="16">
        <v>9.5489999999999995</v>
      </c>
      <c r="O8" s="9">
        <f>N8*O3</f>
        <v>168.44435999999999</v>
      </c>
      <c r="P8" s="9">
        <f>N8*P3</f>
        <v>257.15456999999998</v>
      </c>
      <c r="Q8" s="16">
        <v>9.5489999999999995</v>
      </c>
      <c r="R8" s="16"/>
      <c r="S8" s="36">
        <f>-(Q8*O3)</f>
        <v>-168.44435999999999</v>
      </c>
      <c r="T8" s="36">
        <f>-(Q8*P3)</f>
        <v>-257.15456999999998</v>
      </c>
    </row>
    <row r="9" spans="1:20" hidden="1" x14ac:dyDescent="0.25">
      <c r="A9" s="5">
        <v>44835</v>
      </c>
      <c r="B9" s="8">
        <v>2774.9</v>
      </c>
      <c r="C9" s="8">
        <v>298.39999999999998</v>
      </c>
      <c r="D9" s="21" t="s">
        <v>27</v>
      </c>
      <c r="E9" s="8" t="s">
        <v>21</v>
      </c>
      <c r="F9" s="56">
        <v>503</v>
      </c>
      <c r="G9" s="56">
        <v>565.52099999999996</v>
      </c>
      <c r="H9" s="16">
        <v>0</v>
      </c>
      <c r="I9" s="16">
        <f t="shared" ref="I9:I11" si="0">F9-(G9+H9)</f>
        <v>-62.520999999999958</v>
      </c>
      <c r="J9" s="8"/>
      <c r="K9" s="8">
        <v>0</v>
      </c>
      <c r="L9" s="8"/>
      <c r="M9" s="8"/>
      <c r="N9" s="16">
        <v>9.5489999999999995</v>
      </c>
      <c r="O9" s="9">
        <f>N9*O3</f>
        <v>168.44435999999999</v>
      </c>
      <c r="P9" s="9">
        <f>N9*P3</f>
        <v>257.15456999999998</v>
      </c>
      <c r="Q9" s="16">
        <f>N9</f>
        <v>9.5489999999999995</v>
      </c>
      <c r="R9" s="8"/>
      <c r="S9" s="36">
        <f>-(Q9*O3)</f>
        <v>-168.44435999999999</v>
      </c>
      <c r="T9" s="36">
        <f>-(Q9*P3)</f>
        <v>-257.15456999999998</v>
      </c>
    </row>
    <row r="10" spans="1:20" hidden="1" x14ac:dyDescent="0.25">
      <c r="A10" s="5">
        <v>44866</v>
      </c>
      <c r="B10" s="6">
        <v>2775.9</v>
      </c>
      <c r="C10" s="6">
        <v>298.39999999999998</v>
      </c>
      <c r="D10" s="21" t="s">
        <v>27</v>
      </c>
      <c r="E10" s="6" t="s">
        <v>21</v>
      </c>
      <c r="F10" s="55">
        <v>527</v>
      </c>
      <c r="G10" s="55">
        <v>575.779</v>
      </c>
      <c r="H10" s="17">
        <v>0</v>
      </c>
      <c r="I10" s="16">
        <f t="shared" si="0"/>
        <v>-48.778999999999996</v>
      </c>
      <c r="J10" s="6"/>
      <c r="K10" s="6">
        <v>0</v>
      </c>
      <c r="L10" s="6"/>
      <c r="M10" s="6"/>
      <c r="N10" s="17">
        <v>9.5489999999999995</v>
      </c>
      <c r="O10" s="9">
        <f>N10*O3</f>
        <v>168.44435999999999</v>
      </c>
      <c r="P10" s="9">
        <f>N10*P3</f>
        <v>257.15456999999998</v>
      </c>
      <c r="Q10" s="16">
        <f t="shared" ref="Q10:Q11" si="1">N10</f>
        <v>9.5489999999999995</v>
      </c>
      <c r="R10" s="6"/>
      <c r="S10" s="36">
        <f>-(Q10*O3)</f>
        <v>-168.44435999999999</v>
      </c>
      <c r="T10" s="36">
        <f>-(Q10*P3)</f>
        <v>-257.15456999999998</v>
      </c>
    </row>
    <row r="11" spans="1:20" hidden="1" x14ac:dyDescent="0.25">
      <c r="A11" s="5">
        <v>44896</v>
      </c>
      <c r="B11" s="6">
        <v>2774.9</v>
      </c>
      <c r="C11" s="6">
        <v>298.39999999999998</v>
      </c>
      <c r="D11" s="21" t="s">
        <v>27</v>
      </c>
      <c r="E11" s="6" t="s">
        <v>21</v>
      </c>
      <c r="F11" s="55">
        <v>473</v>
      </c>
      <c r="G11" s="55">
        <v>549.94299999999998</v>
      </c>
      <c r="H11" s="17">
        <v>0</v>
      </c>
      <c r="I11" s="17">
        <f t="shared" si="0"/>
        <v>-76.942999999999984</v>
      </c>
      <c r="J11" s="6"/>
      <c r="K11" s="6">
        <v>0</v>
      </c>
      <c r="L11" s="6"/>
      <c r="M11" s="6"/>
      <c r="N11" s="17">
        <v>9.5489999999999995</v>
      </c>
      <c r="O11" s="11">
        <f>N11*O4</f>
        <v>202.05683999999999</v>
      </c>
      <c r="P11" s="11">
        <f>N11*P4</f>
        <v>277.11197999999996</v>
      </c>
      <c r="Q11" s="17">
        <f t="shared" si="1"/>
        <v>9.5489999999999995</v>
      </c>
      <c r="R11" s="6"/>
      <c r="S11" s="36">
        <f>-(Q11*O4)</f>
        <v>-202.05683999999999</v>
      </c>
      <c r="T11" s="36">
        <f>-(Q11*P4)</f>
        <v>-277.11197999999996</v>
      </c>
    </row>
    <row r="12" spans="1:20" hidden="1" x14ac:dyDescent="0.25">
      <c r="B12" s="1"/>
      <c r="C12" s="1"/>
      <c r="F12" s="54"/>
      <c r="G12" s="54"/>
      <c r="N12" s="38" t="s">
        <v>46</v>
      </c>
      <c r="O12" s="39">
        <f>SUM(O8:O11)</f>
        <v>707.38991999999996</v>
      </c>
      <c r="P12" s="39">
        <f>SUM(P8:P11)</f>
        <v>1048.5756899999999</v>
      </c>
      <c r="Q12" s="40"/>
      <c r="R12" s="41"/>
      <c r="S12" s="42">
        <f>SUM(S8:S11)</f>
        <v>-707.38991999999996</v>
      </c>
      <c r="T12" s="42">
        <f>SUM(T8:T11)</f>
        <v>-1048.5756899999999</v>
      </c>
    </row>
    <row r="13" spans="1:20" hidden="1" x14ac:dyDescent="0.25">
      <c r="B13" s="1"/>
      <c r="C13" s="1"/>
      <c r="F13" s="54"/>
      <c r="G13" s="54"/>
      <c r="R13" s="41" t="s">
        <v>41</v>
      </c>
      <c r="T13" s="41"/>
    </row>
    <row r="14" spans="1:20" hidden="1" x14ac:dyDescent="0.25">
      <c r="B14" s="1"/>
      <c r="C14" s="1"/>
      <c r="F14" s="54"/>
      <c r="G14" s="54"/>
      <c r="S14" s="41"/>
      <c r="T14" s="42">
        <f>T12+S12</f>
        <v>-1755.9656099999997</v>
      </c>
    </row>
    <row r="15" spans="1:20" hidden="1" x14ac:dyDescent="0.25">
      <c r="A15" s="5">
        <v>44927</v>
      </c>
      <c r="B15" s="6">
        <v>2774.9</v>
      </c>
      <c r="C15" s="6">
        <v>298.39999999999998</v>
      </c>
      <c r="D15" s="21" t="s">
        <v>27</v>
      </c>
      <c r="E15" s="6" t="s">
        <v>21</v>
      </c>
      <c r="F15" s="55">
        <v>589</v>
      </c>
      <c r="G15" s="55">
        <v>558.61699999999996</v>
      </c>
      <c r="H15" s="17">
        <v>63</v>
      </c>
      <c r="I15" s="17">
        <f>F15-(G15+H15)</f>
        <v>-32.616999999999962</v>
      </c>
      <c r="J15" s="6"/>
      <c r="K15" s="6">
        <v>0</v>
      </c>
      <c r="L15" s="6"/>
      <c r="M15" s="6"/>
      <c r="N15" s="17">
        <v>9.5489999999999995</v>
      </c>
      <c r="O15" s="11">
        <f>N15*O4</f>
        <v>202.05683999999999</v>
      </c>
      <c r="P15" s="11">
        <f>N15*P4</f>
        <v>277.11197999999996</v>
      </c>
      <c r="Q15" s="50">
        <f t="shared" ref="Q15:Q26" si="2">N15</f>
        <v>9.5489999999999995</v>
      </c>
      <c r="R15" s="7"/>
      <c r="S15" s="36">
        <f>-(Q15*O4)</f>
        <v>-202.05683999999999</v>
      </c>
      <c r="T15" s="36">
        <f>-(Q15*P4)</f>
        <v>-277.11197999999996</v>
      </c>
    </row>
    <row r="16" spans="1:20" hidden="1" x14ac:dyDescent="0.25">
      <c r="A16" s="5">
        <v>44958</v>
      </c>
      <c r="B16" s="6">
        <v>2774.9</v>
      </c>
      <c r="C16" s="6">
        <v>298.39999999999998</v>
      </c>
      <c r="D16" s="21" t="s">
        <v>27</v>
      </c>
      <c r="E16" s="6" t="s">
        <v>21</v>
      </c>
      <c r="F16" s="55">
        <v>487</v>
      </c>
      <c r="G16" s="55">
        <v>588.1</v>
      </c>
      <c r="H16" s="17">
        <v>80</v>
      </c>
      <c r="I16" s="17">
        <f t="shared" ref="I16:I26" si="3">F16-(G16+H16)</f>
        <v>-181.10000000000002</v>
      </c>
      <c r="J16" s="6"/>
      <c r="K16" s="6">
        <v>0</v>
      </c>
      <c r="L16" s="6"/>
      <c r="M16" s="6"/>
      <c r="N16" s="17">
        <v>9.5489999999999995</v>
      </c>
      <c r="O16" s="11">
        <f>N16*O4</f>
        <v>202.05683999999999</v>
      </c>
      <c r="P16" s="11">
        <f>N16*P4</f>
        <v>277.11197999999996</v>
      </c>
      <c r="Q16" s="50">
        <f t="shared" si="2"/>
        <v>9.5489999999999995</v>
      </c>
      <c r="R16" s="7"/>
      <c r="S16" s="36">
        <f>-(Q16*O4)</f>
        <v>-202.05683999999999</v>
      </c>
      <c r="T16" s="36">
        <f>-(Q16*P4)</f>
        <v>-277.11197999999996</v>
      </c>
    </row>
    <row r="17" spans="1:20" hidden="1" x14ac:dyDescent="0.25">
      <c r="A17" s="5">
        <v>44986</v>
      </c>
      <c r="B17" s="6">
        <v>2774.9</v>
      </c>
      <c r="C17" s="6">
        <v>298.39999999999998</v>
      </c>
      <c r="D17" s="21" t="s">
        <v>27</v>
      </c>
      <c r="E17" s="6" t="s">
        <v>21</v>
      </c>
      <c r="F17" s="55">
        <v>559</v>
      </c>
      <c r="G17" s="55">
        <v>402.38299999999998</v>
      </c>
      <c r="H17" s="17">
        <v>54</v>
      </c>
      <c r="I17" s="17">
        <f>F17-(G17+H17)</f>
        <v>102.61700000000002</v>
      </c>
      <c r="J17" s="6"/>
      <c r="K17" s="6">
        <v>0</v>
      </c>
      <c r="L17" s="6"/>
      <c r="M17" s="6"/>
      <c r="N17" s="17">
        <v>9.5489999999999995</v>
      </c>
      <c r="O17" s="11">
        <f>N17*O4</f>
        <v>202.05683999999999</v>
      </c>
      <c r="P17" s="11">
        <f>N17*P4</f>
        <v>277.11197999999996</v>
      </c>
      <c r="Q17" s="50">
        <f t="shared" si="2"/>
        <v>9.5489999999999995</v>
      </c>
      <c r="R17" s="7"/>
      <c r="S17" s="36">
        <f>-(Q17*O4)</f>
        <v>-202.05683999999999</v>
      </c>
      <c r="T17" s="36">
        <f>-(Q17*P4)</f>
        <v>-277.11197999999996</v>
      </c>
    </row>
    <row r="18" spans="1:20" hidden="1" x14ac:dyDescent="0.25">
      <c r="A18" s="5">
        <v>45017</v>
      </c>
      <c r="B18" s="6">
        <v>2774.9</v>
      </c>
      <c r="C18" s="6">
        <v>298.39999999999998</v>
      </c>
      <c r="D18" s="21" t="s">
        <v>27</v>
      </c>
      <c r="E18" s="6" t="s">
        <v>21</v>
      </c>
      <c r="F18" s="55">
        <v>595</v>
      </c>
      <c r="G18" s="55">
        <v>547.00099999999998</v>
      </c>
      <c r="H18" s="17">
        <v>46</v>
      </c>
      <c r="I18" s="17">
        <f>F18-(G18+H18)</f>
        <v>1.9990000000000236</v>
      </c>
      <c r="J18" s="6"/>
      <c r="K18" s="6">
        <v>0</v>
      </c>
      <c r="L18" s="6"/>
      <c r="M18" s="6"/>
      <c r="N18" s="17">
        <v>9.5489999999999995</v>
      </c>
      <c r="O18" s="11">
        <f>N18*O4</f>
        <v>202.05683999999999</v>
      </c>
      <c r="P18" s="11">
        <f>N18*P4</f>
        <v>277.11197999999996</v>
      </c>
      <c r="Q18" s="50">
        <f t="shared" si="2"/>
        <v>9.5489999999999995</v>
      </c>
      <c r="R18" s="7"/>
      <c r="S18" s="36">
        <f>-(Q18*O4)</f>
        <v>-202.05683999999999</v>
      </c>
      <c r="T18" s="36">
        <f>-(Q18*P4)</f>
        <v>-277.11197999999996</v>
      </c>
    </row>
    <row r="19" spans="1:20" hidden="1" x14ac:dyDescent="0.25">
      <c r="A19" s="5">
        <v>45047</v>
      </c>
      <c r="B19" s="6">
        <v>2774.9</v>
      </c>
      <c r="C19" s="6">
        <v>298.39999999999998</v>
      </c>
      <c r="D19" s="21" t="s">
        <v>27</v>
      </c>
      <c r="E19" s="6" t="s">
        <v>21</v>
      </c>
      <c r="F19" s="55">
        <v>492</v>
      </c>
      <c r="G19" s="55">
        <v>542.32399999999996</v>
      </c>
      <c r="H19" s="17">
        <v>66</v>
      </c>
      <c r="I19" s="17">
        <f t="shared" si="3"/>
        <v>-116.32399999999996</v>
      </c>
      <c r="J19" s="6"/>
      <c r="K19" s="6">
        <v>0</v>
      </c>
      <c r="L19" s="6"/>
      <c r="M19" s="6"/>
      <c r="N19" s="17">
        <v>9.5489999999999995</v>
      </c>
      <c r="O19" s="11">
        <f>N19*O4</f>
        <v>202.05683999999999</v>
      </c>
      <c r="P19" s="11">
        <f>N19*P4</f>
        <v>277.11197999999996</v>
      </c>
      <c r="Q19" s="50">
        <f t="shared" si="2"/>
        <v>9.5489999999999995</v>
      </c>
      <c r="R19" s="7"/>
      <c r="S19" s="36">
        <f>-(Q19*O4)</f>
        <v>-202.05683999999999</v>
      </c>
      <c r="T19" s="36">
        <f>-(Q19*P4)</f>
        <v>-277.11197999999996</v>
      </c>
    </row>
    <row r="20" spans="1:20" hidden="1" x14ac:dyDescent="0.25">
      <c r="A20" s="5">
        <v>45078</v>
      </c>
      <c r="B20" s="6">
        <v>2774.9</v>
      </c>
      <c r="C20" s="6">
        <v>298.39999999999998</v>
      </c>
      <c r="D20" s="21" t="s">
        <v>27</v>
      </c>
      <c r="E20" s="6" t="s">
        <v>21</v>
      </c>
      <c r="F20" s="55">
        <v>421</v>
      </c>
      <c r="G20" s="55">
        <v>494.39</v>
      </c>
      <c r="H20" s="17">
        <v>73</v>
      </c>
      <c r="I20" s="17">
        <f t="shared" si="3"/>
        <v>-146.38999999999999</v>
      </c>
      <c r="J20" s="6"/>
      <c r="K20" s="6">
        <v>0</v>
      </c>
      <c r="L20" s="6"/>
      <c r="M20" s="6"/>
      <c r="N20" s="17">
        <v>9.5489999999999995</v>
      </c>
      <c r="O20" s="11">
        <f>N20*O4</f>
        <v>202.05683999999999</v>
      </c>
      <c r="P20" s="11">
        <f>N20*P4</f>
        <v>277.11197999999996</v>
      </c>
      <c r="Q20" s="50">
        <f t="shared" si="2"/>
        <v>9.5489999999999995</v>
      </c>
      <c r="R20" s="7"/>
      <c r="S20" s="36">
        <f>-(Q20*O4)</f>
        <v>-202.05683999999999</v>
      </c>
      <c r="T20" s="36">
        <f>-(Q20*P4)</f>
        <v>-277.11197999999996</v>
      </c>
    </row>
    <row r="21" spans="1:20" hidden="1" x14ac:dyDescent="0.25">
      <c r="A21" s="5">
        <v>45108</v>
      </c>
      <c r="B21" s="6">
        <v>2774.9</v>
      </c>
      <c r="C21" s="6">
        <v>298.39999999999998</v>
      </c>
      <c r="D21" s="21" t="s">
        <v>27</v>
      </c>
      <c r="E21" s="6" t="s">
        <v>21</v>
      </c>
      <c r="F21" s="55">
        <v>475</v>
      </c>
      <c r="G21" s="55">
        <v>540.83799999999997</v>
      </c>
      <c r="H21" s="17">
        <v>78</v>
      </c>
      <c r="I21" s="17">
        <f t="shared" si="3"/>
        <v>-143.83799999999997</v>
      </c>
      <c r="J21" s="6"/>
      <c r="K21" s="6">
        <v>0</v>
      </c>
      <c r="L21" s="6"/>
      <c r="M21" s="6"/>
      <c r="N21" s="17">
        <v>9.5489999999999995</v>
      </c>
      <c r="O21" s="11">
        <f>N21*O4</f>
        <v>202.05683999999999</v>
      </c>
      <c r="P21" s="11">
        <f>N21*P4</f>
        <v>277.11197999999996</v>
      </c>
      <c r="Q21" s="50">
        <f t="shared" si="2"/>
        <v>9.5489999999999995</v>
      </c>
      <c r="R21" s="7"/>
      <c r="S21" s="36">
        <f>-(Q21*O4)</f>
        <v>-202.05683999999999</v>
      </c>
      <c r="T21" s="36">
        <f>-(Q21*P4)</f>
        <v>-277.11197999999996</v>
      </c>
    </row>
    <row r="22" spans="1:20" hidden="1" x14ac:dyDescent="0.25">
      <c r="A22" s="5">
        <v>45139</v>
      </c>
      <c r="B22" s="6">
        <v>2774.9</v>
      </c>
      <c r="C22" s="6">
        <v>298.39999999999998</v>
      </c>
      <c r="D22" s="21" t="s">
        <v>27</v>
      </c>
      <c r="E22" s="6" t="s">
        <v>21</v>
      </c>
      <c r="F22" s="55">
        <v>618</v>
      </c>
      <c r="G22" s="55">
        <v>549.60699999999997</v>
      </c>
      <c r="H22" s="17">
        <v>95</v>
      </c>
      <c r="I22" s="17">
        <f t="shared" si="3"/>
        <v>-26.606999999999971</v>
      </c>
      <c r="J22" s="6"/>
      <c r="K22" s="6">
        <v>0</v>
      </c>
      <c r="L22" s="6"/>
      <c r="M22" s="6"/>
      <c r="N22" s="17">
        <v>9.5489999999999995</v>
      </c>
      <c r="O22" s="11">
        <f>N22*O4</f>
        <v>202.05683999999999</v>
      </c>
      <c r="P22" s="11">
        <f>N22*P4</f>
        <v>277.11197999999996</v>
      </c>
      <c r="Q22" s="50">
        <f t="shared" si="2"/>
        <v>9.5489999999999995</v>
      </c>
      <c r="R22" s="7"/>
      <c r="S22" s="36">
        <f>-(Q22*O4)</f>
        <v>-202.05683999999999</v>
      </c>
      <c r="T22" s="36">
        <f>-(Q22*P4)</f>
        <v>-277.11197999999996</v>
      </c>
    </row>
    <row r="23" spans="1:20" hidden="1" x14ac:dyDescent="0.25">
      <c r="A23" s="5">
        <v>45170</v>
      </c>
      <c r="B23" s="6">
        <v>2774.9</v>
      </c>
      <c r="C23" s="6">
        <v>298.39999999999998</v>
      </c>
      <c r="D23" s="21" t="s">
        <v>27</v>
      </c>
      <c r="E23" s="6" t="s">
        <v>21</v>
      </c>
      <c r="F23" s="55">
        <v>489</v>
      </c>
      <c r="G23" s="55">
        <v>547.86599999999999</v>
      </c>
      <c r="H23" s="17">
        <v>58</v>
      </c>
      <c r="I23" s="17">
        <f t="shared" si="3"/>
        <v>-116.86599999999999</v>
      </c>
      <c r="J23" s="6"/>
      <c r="K23" s="6">
        <v>0</v>
      </c>
      <c r="L23" s="6"/>
      <c r="M23" s="6"/>
      <c r="N23" s="17">
        <v>9.5489999999999995</v>
      </c>
      <c r="O23" s="11">
        <f>N23*O4</f>
        <v>202.05683999999999</v>
      </c>
      <c r="P23" s="11">
        <f>N23*P4</f>
        <v>277.11197999999996</v>
      </c>
      <c r="Q23" s="50">
        <f t="shared" si="2"/>
        <v>9.5489999999999995</v>
      </c>
      <c r="R23" s="7"/>
      <c r="S23" s="36">
        <f>-(Q23*O4)</f>
        <v>-202.05683999999999</v>
      </c>
      <c r="T23" s="36">
        <f>-(Q23*P4)</f>
        <v>-277.11197999999996</v>
      </c>
    </row>
    <row r="24" spans="1:20" hidden="1" x14ac:dyDescent="0.25">
      <c r="A24" s="5">
        <v>45200</v>
      </c>
      <c r="B24" s="6">
        <v>2774.9</v>
      </c>
      <c r="C24" s="6">
        <v>298.39999999999998</v>
      </c>
      <c r="D24" s="21" t="s">
        <v>27</v>
      </c>
      <c r="E24" s="6" t="s">
        <v>21</v>
      </c>
      <c r="F24" s="55">
        <v>560</v>
      </c>
      <c r="G24" s="55">
        <v>518.64400000000001</v>
      </c>
      <c r="H24" s="17">
        <v>60</v>
      </c>
      <c r="I24" s="17">
        <f t="shared" si="3"/>
        <v>-18.644000000000005</v>
      </c>
      <c r="J24" s="6"/>
      <c r="K24" s="6">
        <v>0</v>
      </c>
      <c r="L24" s="6"/>
      <c r="M24" s="6"/>
      <c r="N24" s="17">
        <v>9.5489999999999995</v>
      </c>
      <c r="O24" s="11">
        <f>N24*O4</f>
        <v>202.05683999999999</v>
      </c>
      <c r="P24" s="11">
        <f>N24*P4</f>
        <v>277.11197999999996</v>
      </c>
      <c r="Q24" s="50">
        <f t="shared" si="2"/>
        <v>9.5489999999999995</v>
      </c>
      <c r="R24" s="7"/>
      <c r="S24" s="36">
        <f>-(Q24*O4)</f>
        <v>-202.05683999999999</v>
      </c>
      <c r="T24" s="36">
        <f>-(Q24*P4)</f>
        <v>-277.11197999999996</v>
      </c>
    </row>
    <row r="25" spans="1:20" hidden="1" x14ac:dyDescent="0.25">
      <c r="A25" s="5">
        <v>45231</v>
      </c>
      <c r="B25" s="6">
        <v>2774.9</v>
      </c>
      <c r="C25" s="6">
        <v>298.39999999999998</v>
      </c>
      <c r="D25" s="21" t="s">
        <v>27</v>
      </c>
      <c r="E25" s="6" t="s">
        <v>21</v>
      </c>
      <c r="F25" s="55">
        <v>557</v>
      </c>
      <c r="G25" s="55">
        <v>517.01900000000001</v>
      </c>
      <c r="H25" s="17">
        <v>58</v>
      </c>
      <c r="I25" s="17">
        <f>F25-(G25+H25)</f>
        <v>-18.019000000000005</v>
      </c>
      <c r="J25" s="6"/>
      <c r="K25" s="6">
        <v>0</v>
      </c>
      <c r="L25" s="6"/>
      <c r="M25" s="6"/>
      <c r="N25" s="17">
        <v>9.5489999999999995</v>
      </c>
      <c r="O25" s="11">
        <f>N25*O4</f>
        <v>202.05683999999999</v>
      </c>
      <c r="P25" s="11">
        <f>N25*P4</f>
        <v>277.11197999999996</v>
      </c>
      <c r="Q25" s="50">
        <f t="shared" si="2"/>
        <v>9.5489999999999995</v>
      </c>
      <c r="R25" s="7"/>
      <c r="S25" s="36">
        <f>-(Q25*O4)</f>
        <v>-202.05683999999999</v>
      </c>
      <c r="T25" s="36">
        <f>-(Q25*P4)</f>
        <v>-277.11197999999996</v>
      </c>
    </row>
    <row r="26" spans="1:20" hidden="1" x14ac:dyDescent="0.25">
      <c r="A26" s="5">
        <v>45261</v>
      </c>
      <c r="B26" s="6">
        <v>2774.9</v>
      </c>
      <c r="C26" s="6">
        <v>298.39999999999998</v>
      </c>
      <c r="D26" s="21" t="s">
        <v>27</v>
      </c>
      <c r="E26" s="6" t="s">
        <v>21</v>
      </c>
      <c r="F26" s="55">
        <v>538</v>
      </c>
      <c r="G26" s="55">
        <v>531.73</v>
      </c>
      <c r="H26" s="17">
        <v>53</v>
      </c>
      <c r="I26" s="17">
        <f t="shared" si="3"/>
        <v>-46.730000000000018</v>
      </c>
      <c r="J26" s="6"/>
      <c r="K26" s="6">
        <v>0</v>
      </c>
      <c r="L26" s="6"/>
      <c r="M26" s="6"/>
      <c r="N26" s="17">
        <v>9.5489999999999995</v>
      </c>
      <c r="O26" s="11">
        <f>N26*O4</f>
        <v>202.05683999999999</v>
      </c>
      <c r="P26" s="11">
        <f>N26*P4</f>
        <v>277.11197999999996</v>
      </c>
      <c r="Q26" s="50">
        <f t="shared" si="2"/>
        <v>9.5489999999999995</v>
      </c>
      <c r="R26" s="7"/>
      <c r="S26" s="36">
        <f>-(Q26*O4)</f>
        <v>-202.05683999999999</v>
      </c>
      <c r="T26" s="36">
        <f>-(Q26*P4)</f>
        <v>-277.11197999999996</v>
      </c>
    </row>
    <row r="27" spans="1:20" hidden="1" x14ac:dyDescent="0.25">
      <c r="B27" s="1"/>
      <c r="C27" s="1"/>
      <c r="F27" s="54"/>
      <c r="G27" s="54"/>
      <c r="O27" s="39">
        <f>SUM(O15:O26)</f>
        <v>2424.68208</v>
      </c>
      <c r="P27" s="39">
        <f>SUM(P15:P26)</f>
        <v>3325.3437600000002</v>
      </c>
      <c r="Q27" s="41"/>
      <c r="R27" s="41"/>
      <c r="S27" s="39">
        <f>SUM(S15:S26)</f>
        <v>-2424.68208</v>
      </c>
      <c r="T27" s="39">
        <f>SUM(T15:T26)</f>
        <v>-3325.3437600000002</v>
      </c>
    </row>
    <row r="28" spans="1:20" hidden="1" x14ac:dyDescent="0.25">
      <c r="B28" s="1"/>
      <c r="C28" s="1"/>
      <c r="F28" s="54"/>
      <c r="G28" s="54"/>
      <c r="O28" s="41"/>
      <c r="P28" s="41"/>
      <c r="Q28" s="41"/>
      <c r="R28" s="41" t="s">
        <v>41</v>
      </c>
      <c r="T28" s="41"/>
    </row>
    <row r="29" spans="1:20" hidden="1" x14ac:dyDescent="0.25">
      <c r="B29" s="1"/>
      <c r="C29" s="1"/>
      <c r="F29" s="54"/>
      <c r="G29" s="54"/>
      <c r="O29" s="41"/>
      <c r="P29" s="41"/>
      <c r="Q29" s="41"/>
      <c r="R29" s="41"/>
      <c r="S29" s="41"/>
      <c r="T29" s="42">
        <f>S27+T27</f>
        <v>-5750.0258400000002</v>
      </c>
    </row>
    <row r="30" spans="1:20" hidden="1" x14ac:dyDescent="0.25">
      <c r="F30" s="54"/>
      <c r="G30" s="54"/>
    </row>
    <row r="31" spans="1:20" hidden="1" x14ac:dyDescent="0.25">
      <c r="F31" s="54"/>
      <c r="G31" s="54"/>
    </row>
    <row r="32" spans="1:20" hidden="1" x14ac:dyDescent="0.25">
      <c r="F32" s="54"/>
      <c r="G32" s="54"/>
      <c r="T32" s="51"/>
    </row>
    <row r="33" spans="1:20" hidden="1" x14ac:dyDescent="0.25">
      <c r="A33" s="5">
        <v>45292</v>
      </c>
      <c r="B33" s="6">
        <v>2774.9</v>
      </c>
      <c r="C33" s="6">
        <v>298.39999999999998</v>
      </c>
      <c r="D33" s="21" t="s">
        <v>27</v>
      </c>
      <c r="E33" s="6" t="s">
        <v>21</v>
      </c>
      <c r="F33" s="55">
        <v>595</v>
      </c>
      <c r="G33" s="55">
        <v>518.38300000000004</v>
      </c>
      <c r="H33" s="17">
        <v>67</v>
      </c>
      <c r="I33" s="17">
        <f>F33-(G33+H33)</f>
        <v>9.6169999999999618</v>
      </c>
      <c r="J33" s="6"/>
      <c r="K33" s="6">
        <v>0</v>
      </c>
      <c r="L33" s="6"/>
      <c r="M33" s="6"/>
      <c r="N33" s="17">
        <v>9.5489999999999995</v>
      </c>
      <c r="O33" s="11">
        <f>N33*Q3</f>
        <v>202.05683999999999</v>
      </c>
      <c r="P33" s="11">
        <f>N33*R3</f>
        <v>277.11197999999996</v>
      </c>
      <c r="Q33" s="50"/>
      <c r="R33" s="50"/>
      <c r="S33" s="36">
        <f>-(N33*Q3)</f>
        <v>-202.05683999999999</v>
      </c>
      <c r="T33" s="36">
        <f>-(N33*R3)</f>
        <v>-277.11197999999996</v>
      </c>
    </row>
    <row r="34" spans="1:20" hidden="1" x14ac:dyDescent="0.25">
      <c r="A34" s="5">
        <v>45323</v>
      </c>
      <c r="B34" s="6">
        <v>2774.9</v>
      </c>
      <c r="C34" s="6">
        <v>298.39999999999998</v>
      </c>
      <c r="D34" s="21" t="s">
        <v>27</v>
      </c>
      <c r="E34" s="6" t="s">
        <v>21</v>
      </c>
      <c r="F34" s="55">
        <v>525</v>
      </c>
      <c r="G34" s="55">
        <v>509.51400000000001</v>
      </c>
      <c r="H34" s="17">
        <v>34</v>
      </c>
      <c r="I34" s="17">
        <f t="shared" ref="I34" si="4">F34-(G34+H34)</f>
        <v>-18.51400000000001</v>
      </c>
      <c r="J34" s="6"/>
      <c r="K34" s="6">
        <v>0</v>
      </c>
      <c r="L34" s="6"/>
      <c r="M34" s="6"/>
      <c r="N34" s="17">
        <v>9.5489999999999995</v>
      </c>
      <c r="O34" s="11">
        <f>N34*Q3</f>
        <v>202.05683999999999</v>
      </c>
      <c r="P34" s="11">
        <f>N34*R3</f>
        <v>277.11197999999996</v>
      </c>
      <c r="Q34" s="50"/>
      <c r="R34" s="22"/>
      <c r="S34" s="36">
        <f>-(N34*Q3)</f>
        <v>-202.05683999999999</v>
      </c>
      <c r="T34" s="36">
        <f>-(N34*R3)</f>
        <v>-277.11197999999996</v>
      </c>
    </row>
    <row r="35" spans="1:20" hidden="1" x14ac:dyDescent="0.25">
      <c r="A35" s="5">
        <v>45352</v>
      </c>
      <c r="B35" s="6">
        <v>2774.9</v>
      </c>
      <c r="C35" s="6">
        <v>298.39999999999998</v>
      </c>
      <c r="D35" s="21" t="s">
        <v>27</v>
      </c>
      <c r="E35" s="6" t="s">
        <v>21</v>
      </c>
      <c r="F35" s="55">
        <v>556</v>
      </c>
      <c r="G35" s="55">
        <v>530.96100000000001</v>
      </c>
      <c r="H35" s="17">
        <v>19</v>
      </c>
      <c r="I35" s="17">
        <f t="shared" ref="I35:I44" si="5">F35-(G35+H35)</f>
        <v>6.0389999999999873</v>
      </c>
      <c r="J35" s="6"/>
      <c r="K35" s="6">
        <v>0</v>
      </c>
      <c r="L35" s="6"/>
      <c r="M35" s="6"/>
      <c r="N35" s="17">
        <v>9.5489999999999995</v>
      </c>
      <c r="O35" s="11">
        <f>N35*Q3</f>
        <v>202.05683999999999</v>
      </c>
      <c r="P35" s="11">
        <f>N35*R3</f>
        <v>277.11197999999996</v>
      </c>
      <c r="Q35" s="50"/>
      <c r="R35" s="7"/>
      <c r="S35" s="36">
        <f>-(N35*Q3)</f>
        <v>-202.05683999999999</v>
      </c>
      <c r="T35" s="36">
        <f>-(N35*R3)</f>
        <v>-277.11197999999996</v>
      </c>
    </row>
    <row r="36" spans="1:20" hidden="1" x14ac:dyDescent="0.25">
      <c r="A36" s="5">
        <v>45383</v>
      </c>
      <c r="B36" s="6">
        <v>2774.9</v>
      </c>
      <c r="C36" s="6">
        <v>298.39999999999998</v>
      </c>
      <c r="D36" s="21" t="s">
        <v>27</v>
      </c>
      <c r="E36" s="6" t="s">
        <v>21</v>
      </c>
      <c r="F36" s="55">
        <v>554</v>
      </c>
      <c r="G36" s="55">
        <v>821.19399999999996</v>
      </c>
      <c r="H36" s="17">
        <v>29</v>
      </c>
      <c r="I36" s="17">
        <f t="shared" si="5"/>
        <v>-296.19399999999996</v>
      </c>
      <c r="J36" s="6"/>
      <c r="K36" s="6">
        <v>0</v>
      </c>
      <c r="L36" s="6"/>
      <c r="M36" s="6"/>
      <c r="N36" s="17">
        <v>9.5489999999999995</v>
      </c>
      <c r="O36" s="11">
        <f>N36*Q3</f>
        <v>202.05683999999999</v>
      </c>
      <c r="P36" s="11">
        <f>N36*R3</f>
        <v>277.11197999999996</v>
      </c>
      <c r="Q36" s="50"/>
      <c r="R36" s="7"/>
      <c r="S36" s="36">
        <f>-(N36*Q3)</f>
        <v>-202.05683999999999</v>
      </c>
      <c r="T36" s="36">
        <f>-(N36*R3)</f>
        <v>-277.11197999999996</v>
      </c>
    </row>
    <row r="37" spans="1:20" hidden="1" x14ac:dyDescent="0.25">
      <c r="A37" s="5">
        <v>45413</v>
      </c>
      <c r="B37" s="6">
        <v>2774.9</v>
      </c>
      <c r="C37" s="6">
        <v>298.39999999999998</v>
      </c>
      <c r="D37" s="21" t="s">
        <v>27</v>
      </c>
      <c r="E37" s="6" t="s">
        <v>21</v>
      </c>
      <c r="F37" s="55">
        <v>511</v>
      </c>
      <c r="G37" s="55">
        <v>535.53499999999997</v>
      </c>
      <c r="H37" s="17">
        <v>0</v>
      </c>
      <c r="I37" s="17">
        <f t="shared" si="5"/>
        <v>-24.534999999999968</v>
      </c>
      <c r="J37" s="6"/>
      <c r="K37" s="6">
        <v>0</v>
      </c>
      <c r="L37" s="6"/>
      <c r="M37" s="6"/>
      <c r="N37" s="17">
        <v>9.5489999999999995</v>
      </c>
      <c r="O37" s="11">
        <f>N37*Q3</f>
        <v>202.05683999999999</v>
      </c>
      <c r="P37" s="11">
        <f>N37*R3</f>
        <v>277.11197999999996</v>
      </c>
      <c r="Q37" s="50"/>
      <c r="R37" s="7"/>
      <c r="S37" s="36">
        <f>-(N37*Q3)</f>
        <v>-202.05683999999999</v>
      </c>
      <c r="T37" s="36">
        <f>-(N37*R3)</f>
        <v>-277.11197999999996</v>
      </c>
    </row>
    <row r="38" spans="1:20" hidden="1" x14ac:dyDescent="0.25">
      <c r="A38" s="5">
        <v>45444</v>
      </c>
      <c r="B38" s="6">
        <v>2774.9</v>
      </c>
      <c r="C38" s="6">
        <v>298.39999999999998</v>
      </c>
      <c r="D38" s="21" t="s">
        <v>27</v>
      </c>
      <c r="E38" s="6" t="s">
        <v>21</v>
      </c>
      <c r="F38" s="55">
        <v>464</v>
      </c>
      <c r="G38" s="55">
        <v>503.07299999999998</v>
      </c>
      <c r="H38" s="17">
        <v>58</v>
      </c>
      <c r="I38" s="17">
        <f t="shared" si="5"/>
        <v>-97.072999999999979</v>
      </c>
      <c r="J38" s="6"/>
      <c r="K38" s="6">
        <v>0</v>
      </c>
      <c r="L38" s="6"/>
      <c r="M38" s="6"/>
      <c r="N38" s="17">
        <v>9.5489999999999995</v>
      </c>
      <c r="O38" s="11">
        <f>N38*Q3</f>
        <v>202.05683999999999</v>
      </c>
      <c r="P38" s="11">
        <f>N38*R3</f>
        <v>277.11197999999996</v>
      </c>
      <c r="Q38" s="50"/>
      <c r="R38" s="7"/>
      <c r="S38" s="36">
        <f>-(N38*Q3)</f>
        <v>-202.05683999999999</v>
      </c>
      <c r="T38" s="36">
        <f>-(N38*R3)</f>
        <v>-277.11197999999996</v>
      </c>
    </row>
    <row r="39" spans="1:20" hidden="1" x14ac:dyDescent="0.25">
      <c r="A39" s="5">
        <v>45474</v>
      </c>
      <c r="B39" s="6">
        <v>2774.9</v>
      </c>
      <c r="C39" s="6">
        <v>298.39999999999998</v>
      </c>
      <c r="D39" s="21" t="s">
        <v>27</v>
      </c>
      <c r="E39" s="6" t="s">
        <v>21</v>
      </c>
      <c r="F39" s="55">
        <v>573</v>
      </c>
      <c r="G39" s="55">
        <v>523.18499999999995</v>
      </c>
      <c r="H39" s="17">
        <v>28</v>
      </c>
      <c r="I39" s="17">
        <f t="shared" si="5"/>
        <v>21.815000000000055</v>
      </c>
      <c r="J39" s="6"/>
      <c r="K39" s="6">
        <v>0</v>
      </c>
      <c r="L39" s="6"/>
      <c r="M39" s="6"/>
      <c r="N39" s="17">
        <v>9.5489999999999995</v>
      </c>
      <c r="O39" s="11">
        <f>N39*Q4</f>
        <v>224.01954000000001</v>
      </c>
      <c r="P39" s="11">
        <f>N39*R4</f>
        <v>296.11448999999999</v>
      </c>
      <c r="Q39" s="50"/>
      <c r="R39" s="7"/>
      <c r="S39" s="36">
        <f>-(N39*Q4)</f>
        <v>-224.01954000000001</v>
      </c>
      <c r="T39" s="36">
        <f>-(N39*R4)</f>
        <v>-296.11448999999999</v>
      </c>
    </row>
    <row r="40" spans="1:20" hidden="1" x14ac:dyDescent="0.25">
      <c r="A40" s="5">
        <v>45505</v>
      </c>
      <c r="B40" s="6">
        <v>2774.9</v>
      </c>
      <c r="C40" s="6">
        <v>298.39999999999998</v>
      </c>
      <c r="D40" s="21" t="s">
        <v>27</v>
      </c>
      <c r="E40" s="6" t="s">
        <v>21</v>
      </c>
      <c r="F40" s="55">
        <v>538</v>
      </c>
      <c r="G40" s="55">
        <v>512.43700000000001</v>
      </c>
      <c r="H40" s="17">
        <v>32</v>
      </c>
      <c r="I40" s="17">
        <f t="shared" si="5"/>
        <v>-6.4370000000000118</v>
      </c>
      <c r="J40" s="6"/>
      <c r="K40" s="6">
        <v>0</v>
      </c>
      <c r="L40" s="6"/>
      <c r="M40" s="6"/>
      <c r="N40" s="17">
        <v>9.5489999999999995</v>
      </c>
      <c r="O40" s="11">
        <f>N40*Q4</f>
        <v>224.01954000000001</v>
      </c>
      <c r="P40" s="11">
        <f>N40*R4</f>
        <v>296.11448999999999</v>
      </c>
      <c r="Q40" s="50"/>
      <c r="R40" s="7"/>
      <c r="S40" s="36">
        <f>-(N40*Q4)</f>
        <v>-224.01954000000001</v>
      </c>
      <c r="T40" s="36">
        <f>-(N40*R4)</f>
        <v>-296.11448999999999</v>
      </c>
    </row>
    <row r="41" spans="1:20" hidden="1" x14ac:dyDescent="0.25">
      <c r="A41" s="5">
        <v>45536</v>
      </c>
      <c r="B41" s="6">
        <v>2774.9</v>
      </c>
      <c r="C41" s="6">
        <v>298.39999999999998</v>
      </c>
      <c r="D41" s="21" t="s">
        <v>27</v>
      </c>
      <c r="E41" s="6" t="s">
        <v>21</v>
      </c>
      <c r="F41" s="55">
        <v>488</v>
      </c>
      <c r="G41" s="55">
        <v>520.92200000000003</v>
      </c>
      <c r="H41" s="17">
        <v>32</v>
      </c>
      <c r="I41" s="17">
        <f t="shared" si="5"/>
        <v>-64.922000000000025</v>
      </c>
      <c r="J41" s="6"/>
      <c r="K41" s="6">
        <v>0</v>
      </c>
      <c r="L41" s="6"/>
      <c r="M41" s="6"/>
      <c r="N41" s="17">
        <v>9.5489999999999995</v>
      </c>
      <c r="O41" s="11">
        <f>N41*Q4</f>
        <v>224.01954000000001</v>
      </c>
      <c r="P41" s="11">
        <f>N41*R4</f>
        <v>296.11448999999999</v>
      </c>
      <c r="Q41" s="50"/>
      <c r="R41" s="7"/>
      <c r="S41" s="36">
        <f>-(N41*Q4)</f>
        <v>-224.01954000000001</v>
      </c>
      <c r="T41" s="36">
        <f>-(N41*R4)</f>
        <v>-296.11448999999999</v>
      </c>
    </row>
    <row r="42" spans="1:20" hidden="1" x14ac:dyDescent="0.25">
      <c r="A42" s="5">
        <v>45566</v>
      </c>
      <c r="B42" s="6">
        <v>2774.9</v>
      </c>
      <c r="C42" s="6">
        <v>298.39999999999998</v>
      </c>
      <c r="D42" s="21" t="s">
        <v>27</v>
      </c>
      <c r="E42" s="6" t="s">
        <v>21</v>
      </c>
      <c r="F42" s="55">
        <v>501</v>
      </c>
      <c r="G42" s="55">
        <v>515.11</v>
      </c>
      <c r="H42" s="17">
        <v>26</v>
      </c>
      <c r="I42" s="17">
        <f t="shared" si="5"/>
        <v>-40.110000000000014</v>
      </c>
      <c r="J42" s="6"/>
      <c r="K42" s="6">
        <v>0</v>
      </c>
      <c r="L42" s="6"/>
      <c r="M42" s="6"/>
      <c r="N42" s="17">
        <v>9.5489999999999995</v>
      </c>
      <c r="O42" s="11">
        <f>N42*Q4</f>
        <v>224.01954000000001</v>
      </c>
      <c r="P42" s="11">
        <f>N42*R4</f>
        <v>296.11448999999999</v>
      </c>
      <c r="Q42" s="50"/>
      <c r="R42" s="7"/>
      <c r="S42" s="36">
        <f>-(N42*Q4)</f>
        <v>-224.01954000000001</v>
      </c>
      <c r="T42" s="36">
        <f>-(N42*R4)</f>
        <v>-296.11448999999999</v>
      </c>
    </row>
    <row r="43" spans="1:20" hidden="1" x14ac:dyDescent="0.25">
      <c r="A43" s="5">
        <v>45597</v>
      </c>
      <c r="B43" s="6">
        <v>2774.9</v>
      </c>
      <c r="C43" s="6">
        <v>298.39999999999998</v>
      </c>
      <c r="D43" s="21" t="s">
        <v>27</v>
      </c>
      <c r="E43" s="6" t="s">
        <v>21</v>
      </c>
      <c r="F43" s="55">
        <v>534</v>
      </c>
      <c r="G43" s="55">
        <v>528.726</v>
      </c>
      <c r="H43" s="17">
        <v>21</v>
      </c>
      <c r="I43" s="17">
        <f t="shared" si="5"/>
        <v>-15.725999999999999</v>
      </c>
      <c r="J43" s="6"/>
      <c r="K43" s="6">
        <v>0</v>
      </c>
      <c r="L43" s="6"/>
      <c r="M43" s="6"/>
      <c r="N43" s="17">
        <v>9.5489999999999995</v>
      </c>
      <c r="O43" s="11">
        <f>N43*Q4</f>
        <v>224.01954000000001</v>
      </c>
      <c r="P43" s="11">
        <f>N43*R4</f>
        <v>296.11448999999999</v>
      </c>
      <c r="Q43" s="50"/>
      <c r="R43" s="7"/>
      <c r="S43" s="36">
        <f>-(N43*Q4)</f>
        <v>-224.01954000000001</v>
      </c>
      <c r="T43" s="36">
        <f>-(N43*R4)</f>
        <v>-296.11448999999999</v>
      </c>
    </row>
    <row r="44" spans="1:20" hidden="1" x14ac:dyDescent="0.25">
      <c r="A44" s="5">
        <v>45627</v>
      </c>
      <c r="B44" s="6">
        <v>2774.9</v>
      </c>
      <c r="C44" s="6">
        <v>298.39999999999998</v>
      </c>
      <c r="D44" s="21" t="s">
        <v>27</v>
      </c>
      <c r="E44" s="6" t="s">
        <v>21</v>
      </c>
      <c r="F44" s="55">
        <v>537</v>
      </c>
      <c r="G44" s="55">
        <v>537.59100000000001</v>
      </c>
      <c r="H44" s="17">
        <v>0</v>
      </c>
      <c r="I44" s="17">
        <f t="shared" si="5"/>
        <v>-0.59100000000000819</v>
      </c>
      <c r="J44" s="6"/>
      <c r="K44" s="6">
        <v>0</v>
      </c>
      <c r="L44" s="6"/>
      <c r="M44" s="6"/>
      <c r="N44" s="17">
        <v>9.5489999999999995</v>
      </c>
      <c r="O44" s="11">
        <f>N44*Q4</f>
        <v>224.01954000000001</v>
      </c>
      <c r="P44" s="11">
        <f>N44*R4</f>
        <v>296.11448999999999</v>
      </c>
      <c r="Q44" s="50"/>
      <c r="R44" s="7"/>
      <c r="S44" s="36">
        <f>-(N44*Q4)</f>
        <v>-224.01954000000001</v>
      </c>
      <c r="T44" s="36">
        <f>-(N44*R4)</f>
        <v>-296.11448999999999</v>
      </c>
    </row>
    <row r="45" spans="1:20" hidden="1" x14ac:dyDescent="0.25">
      <c r="B45" s="1"/>
      <c r="C45" s="1"/>
      <c r="N45" s="60">
        <f>SUM(N33:N44)</f>
        <v>114.58800000000002</v>
      </c>
      <c r="O45" s="39">
        <f>SUM(O33:O44)</f>
        <v>2556.4582800000007</v>
      </c>
      <c r="P45" s="39">
        <f>SUM(P33:P44)</f>
        <v>3439.3588199999995</v>
      </c>
      <c r="Q45" s="41"/>
      <c r="R45" s="41"/>
      <c r="S45" s="39">
        <f>SUM(S33:S44)</f>
        <v>-2556.4582800000007</v>
      </c>
      <c r="T45" s="39">
        <f>SUM(T33:T44)</f>
        <v>-3439.3588199999995</v>
      </c>
    </row>
    <row r="46" spans="1:20" hidden="1" x14ac:dyDescent="0.25">
      <c r="B46" s="1"/>
      <c r="C46" s="1"/>
      <c r="N46">
        <f>N45/2</f>
        <v>57.294000000000011</v>
      </c>
      <c r="O46" s="41"/>
      <c r="P46" s="41"/>
      <c r="Q46" s="41"/>
      <c r="R46" s="41" t="s">
        <v>41</v>
      </c>
      <c r="T46" s="41"/>
    </row>
    <row r="47" spans="1:20" hidden="1" x14ac:dyDescent="0.25">
      <c r="B47" s="1"/>
      <c r="C47" s="1"/>
      <c r="N47">
        <f>N45/2</f>
        <v>57.294000000000011</v>
      </c>
      <c r="O47" s="41"/>
      <c r="P47" s="41"/>
      <c r="Q47" s="41"/>
      <c r="R47" s="41"/>
      <c r="S47" s="41"/>
      <c r="T47" s="42">
        <f>S45+T45</f>
        <v>-5995.8171000000002</v>
      </c>
    </row>
    <row r="48" spans="1:20" hidden="1" x14ac:dyDescent="0.25"/>
    <row r="49" spans="1:20" hidden="1" x14ac:dyDescent="0.25"/>
    <row r="50" spans="1:20" hidden="1" x14ac:dyDescent="0.25"/>
    <row r="51" spans="1:20" hidden="1" x14ac:dyDescent="0.25"/>
    <row r="52" spans="1:20" ht="17.25" customHeight="1" x14ac:dyDescent="0.25">
      <c r="A52" s="27"/>
      <c r="B52" s="27"/>
      <c r="C52" s="27"/>
      <c r="D52" s="27"/>
      <c r="E52" s="27"/>
      <c r="F52" s="27"/>
      <c r="G52" s="27"/>
      <c r="H52" s="28"/>
      <c r="I52" s="28"/>
      <c r="J52" s="28"/>
      <c r="K52" s="28"/>
      <c r="L52" s="28"/>
      <c r="M52" s="28"/>
      <c r="N52" s="28"/>
      <c r="O52" s="29" t="s">
        <v>21</v>
      </c>
      <c r="P52" s="29" t="s">
        <v>33</v>
      </c>
      <c r="Q52" s="28"/>
      <c r="R52" s="29" t="s">
        <v>21</v>
      </c>
      <c r="S52" s="29" t="s">
        <v>33</v>
      </c>
      <c r="T52" s="61"/>
    </row>
    <row r="53" spans="1:20" ht="16.5" customHeight="1" x14ac:dyDescent="0.25">
      <c r="A53" s="68" t="s">
        <v>5</v>
      </c>
      <c r="B53" s="68"/>
      <c r="C53" s="68"/>
      <c r="D53" s="68"/>
      <c r="H53" s="69" t="s">
        <v>78</v>
      </c>
      <c r="I53" s="69"/>
      <c r="J53" s="69"/>
      <c r="K53" s="69"/>
      <c r="L53" s="69"/>
      <c r="M53" s="69"/>
      <c r="N53" s="30" t="s">
        <v>76</v>
      </c>
      <c r="O53" s="31">
        <v>23.46</v>
      </c>
      <c r="P53" s="30">
        <v>31.01</v>
      </c>
      <c r="Q53" s="30" t="s">
        <v>77</v>
      </c>
      <c r="R53" s="31">
        <v>26.71</v>
      </c>
      <c r="S53" s="30">
        <v>34.78</v>
      </c>
      <c r="T53" s="61"/>
    </row>
    <row r="54" spans="1:20" ht="83.25" customHeight="1" x14ac:dyDescent="0.25">
      <c r="A54" s="64" t="s">
        <v>3</v>
      </c>
      <c r="B54" s="64" t="s">
        <v>2</v>
      </c>
      <c r="C54" s="70" t="s">
        <v>10</v>
      </c>
      <c r="D54" s="64" t="s">
        <v>11</v>
      </c>
      <c r="E54" s="64" t="s">
        <v>0</v>
      </c>
      <c r="F54" s="67" t="s">
        <v>79</v>
      </c>
      <c r="G54" s="67" t="s">
        <v>80</v>
      </c>
      <c r="H54" s="67" t="s">
        <v>81</v>
      </c>
      <c r="I54" s="67" t="s">
        <v>9</v>
      </c>
      <c r="J54" s="67" t="s">
        <v>22</v>
      </c>
      <c r="K54" s="67"/>
      <c r="L54" s="67" t="s">
        <v>24</v>
      </c>
      <c r="M54" s="67" t="s">
        <v>25</v>
      </c>
      <c r="N54" s="65" t="s">
        <v>44</v>
      </c>
      <c r="O54" s="67" t="s">
        <v>26</v>
      </c>
      <c r="P54" s="67" t="s">
        <v>43</v>
      </c>
      <c r="Q54" s="67" t="s">
        <v>4</v>
      </c>
      <c r="R54" s="67"/>
      <c r="S54" s="64" t="s">
        <v>53</v>
      </c>
      <c r="T54" s="64" t="s">
        <v>52</v>
      </c>
    </row>
    <row r="55" spans="1:20" ht="92.25" customHeight="1" x14ac:dyDescent="0.25">
      <c r="A55" s="64"/>
      <c r="B55" s="64"/>
      <c r="C55" s="71"/>
      <c r="D55" s="64"/>
      <c r="E55" s="64"/>
      <c r="F55" s="67"/>
      <c r="G55" s="67"/>
      <c r="H55" s="67"/>
      <c r="I55" s="67"/>
      <c r="J55" s="63" t="s">
        <v>1</v>
      </c>
      <c r="K55" s="63" t="s">
        <v>23</v>
      </c>
      <c r="L55" s="67"/>
      <c r="M55" s="67"/>
      <c r="N55" s="66"/>
      <c r="O55" s="67"/>
      <c r="P55" s="66"/>
      <c r="Q55" s="63" t="s">
        <v>38</v>
      </c>
      <c r="R55" s="63" t="s">
        <v>82</v>
      </c>
      <c r="S55" s="64"/>
      <c r="T55" s="64"/>
    </row>
    <row r="56" spans="1:20" x14ac:dyDescent="0.25">
      <c r="A56" s="4">
        <v>1</v>
      </c>
      <c r="B56" s="4">
        <v>2</v>
      </c>
      <c r="C56" s="4">
        <v>3</v>
      </c>
      <c r="D56" s="4">
        <v>4</v>
      </c>
      <c r="E56" s="4">
        <v>5</v>
      </c>
      <c r="F56" s="4">
        <v>6</v>
      </c>
      <c r="G56" s="4">
        <v>7</v>
      </c>
      <c r="H56" s="4">
        <v>8</v>
      </c>
      <c r="I56" s="4">
        <v>9</v>
      </c>
      <c r="J56" s="4">
        <v>10</v>
      </c>
      <c r="K56" s="4">
        <v>11</v>
      </c>
      <c r="L56" s="4">
        <v>12</v>
      </c>
      <c r="M56" s="4">
        <v>13</v>
      </c>
      <c r="N56" s="4">
        <v>14</v>
      </c>
      <c r="O56" s="4">
        <v>15</v>
      </c>
      <c r="P56" s="4">
        <v>16</v>
      </c>
      <c r="Q56" s="4">
        <v>17</v>
      </c>
      <c r="R56" s="4">
        <v>18</v>
      </c>
      <c r="S56" s="4">
        <v>19</v>
      </c>
      <c r="T56" s="4">
        <v>20</v>
      </c>
    </row>
    <row r="57" spans="1:20" x14ac:dyDescent="0.25">
      <c r="A57" s="5">
        <v>45658</v>
      </c>
      <c r="B57" s="6">
        <v>2774.9</v>
      </c>
      <c r="C57" s="6">
        <v>298.39999999999998</v>
      </c>
      <c r="D57" s="21" t="s">
        <v>27</v>
      </c>
      <c r="E57" s="6" t="s">
        <v>21</v>
      </c>
      <c r="F57" s="55">
        <v>543</v>
      </c>
      <c r="G57" s="55">
        <v>534.79</v>
      </c>
      <c r="H57" s="17">
        <v>45</v>
      </c>
      <c r="I57" s="17">
        <f>F57-(G57+H57)</f>
        <v>-36.789999999999964</v>
      </c>
      <c r="J57" s="6"/>
      <c r="K57" s="6">
        <v>0</v>
      </c>
      <c r="L57" s="6"/>
      <c r="M57" s="6"/>
      <c r="N57" s="17">
        <f>C57*0.033</f>
        <v>9.8471999999999991</v>
      </c>
      <c r="O57" s="11">
        <f>N57*O53</f>
        <v>231.01531199999999</v>
      </c>
      <c r="P57" s="11">
        <f>(N57*P53)*2</f>
        <v>610.723344</v>
      </c>
      <c r="Q57" s="50"/>
      <c r="R57" s="50"/>
      <c r="S57" s="36">
        <f>-(N57*O53)</f>
        <v>-231.01531199999999</v>
      </c>
      <c r="T57" s="36">
        <f>-(N57*P53)*2</f>
        <v>-610.723344</v>
      </c>
    </row>
    <row r="58" spans="1:20" x14ac:dyDescent="0.25">
      <c r="A58" s="5">
        <v>45689</v>
      </c>
      <c r="B58" s="6">
        <v>2774.9</v>
      </c>
      <c r="C58" s="6">
        <v>298.39999999999998</v>
      </c>
      <c r="D58" s="21" t="s">
        <v>27</v>
      </c>
      <c r="E58" s="6" t="s">
        <v>21</v>
      </c>
      <c r="F58" s="55">
        <v>561</v>
      </c>
      <c r="G58" s="55">
        <v>552.01900000000001</v>
      </c>
      <c r="H58" s="17">
        <v>17</v>
      </c>
      <c r="I58" s="17">
        <f>F58-(G58+H58)</f>
        <v>-8.0190000000000055</v>
      </c>
      <c r="J58" s="6"/>
      <c r="K58" s="6">
        <v>0</v>
      </c>
      <c r="L58" s="6"/>
      <c r="M58" s="6"/>
      <c r="N58" s="17">
        <f t="shared" ref="N58:N68" si="6">C58*0.033</f>
        <v>9.8471999999999991</v>
      </c>
      <c r="O58" s="11">
        <f>N58*O53</f>
        <v>231.01531199999999</v>
      </c>
      <c r="P58" s="11">
        <f>(N58*P53)*2</f>
        <v>610.723344</v>
      </c>
      <c r="Q58" s="50"/>
      <c r="R58" s="22"/>
      <c r="S58" s="36">
        <f>-(N58*O53)</f>
        <v>-231.01531199999999</v>
      </c>
      <c r="T58" s="36">
        <f>-(N58*P53)*2</f>
        <v>-610.723344</v>
      </c>
    </row>
    <row r="59" spans="1:20" x14ac:dyDescent="0.25">
      <c r="A59" s="5">
        <v>45717</v>
      </c>
      <c r="B59" s="6">
        <v>2774.9</v>
      </c>
      <c r="C59" s="6">
        <v>298.39999999999998</v>
      </c>
      <c r="D59" s="21" t="s">
        <v>27</v>
      </c>
      <c r="E59" s="6" t="s">
        <v>21</v>
      </c>
      <c r="F59" s="55">
        <v>456</v>
      </c>
      <c r="G59" s="55">
        <v>606.43299999999999</v>
      </c>
      <c r="H59" s="17">
        <v>18</v>
      </c>
      <c r="I59" s="17">
        <f t="shared" ref="I59:I68" si="7">F59-(G59+H59)</f>
        <v>-168.43299999999999</v>
      </c>
      <c r="J59" s="6"/>
      <c r="K59" s="6">
        <v>0</v>
      </c>
      <c r="L59" s="6"/>
      <c r="M59" s="6"/>
      <c r="N59" s="17">
        <f t="shared" si="6"/>
        <v>9.8471999999999991</v>
      </c>
      <c r="O59" s="11">
        <f>N59*O53</f>
        <v>231.01531199999999</v>
      </c>
      <c r="P59" s="11">
        <f>(N59*P53)*2</f>
        <v>610.723344</v>
      </c>
      <c r="Q59" s="50"/>
      <c r="R59" s="7"/>
      <c r="S59" s="36">
        <f>-(N59*O53)</f>
        <v>-231.01531199999999</v>
      </c>
      <c r="T59" s="36">
        <f>-(N59*P53)*2</f>
        <v>-610.723344</v>
      </c>
    </row>
    <row r="60" spans="1:20" x14ac:dyDescent="0.25">
      <c r="A60" s="5">
        <v>45748</v>
      </c>
      <c r="B60" s="6">
        <v>2774.9</v>
      </c>
      <c r="C60" s="6">
        <v>298.39999999999998</v>
      </c>
      <c r="D60" s="21" t="s">
        <v>27</v>
      </c>
      <c r="E60" s="6" t="s">
        <v>21</v>
      </c>
      <c r="F60" s="55">
        <v>441</v>
      </c>
      <c r="G60" s="55">
        <v>547.06600000000003</v>
      </c>
      <c r="H60" s="17">
        <v>18</v>
      </c>
      <c r="I60" s="17">
        <f t="shared" si="7"/>
        <v>-124.06600000000003</v>
      </c>
      <c r="J60" s="6"/>
      <c r="K60" s="6">
        <v>0</v>
      </c>
      <c r="L60" s="6"/>
      <c r="M60" s="6"/>
      <c r="N60" s="17">
        <f t="shared" si="6"/>
        <v>9.8471999999999991</v>
      </c>
      <c r="O60" s="11">
        <f>N60*O53</f>
        <v>231.01531199999999</v>
      </c>
      <c r="P60" s="11">
        <f>(N60*P53)*2</f>
        <v>610.723344</v>
      </c>
      <c r="Q60" s="50"/>
      <c r="R60" s="7"/>
      <c r="S60" s="36">
        <f>-(N60*O53)</f>
        <v>-231.01531199999999</v>
      </c>
      <c r="T60" s="36">
        <f>-(N60*P53)*2</f>
        <v>-610.723344</v>
      </c>
    </row>
    <row r="61" spans="1:20" x14ac:dyDescent="0.25">
      <c r="A61" s="5">
        <v>45778</v>
      </c>
      <c r="B61" s="6">
        <v>2774.9</v>
      </c>
      <c r="C61" s="6">
        <v>298.39999999999998</v>
      </c>
      <c r="D61" s="21" t="s">
        <v>27</v>
      </c>
      <c r="E61" s="6" t="s">
        <v>21</v>
      </c>
      <c r="F61" s="55">
        <v>445</v>
      </c>
      <c r="G61" s="55">
        <v>546.59900000000005</v>
      </c>
      <c r="H61" s="17">
        <v>51</v>
      </c>
      <c r="I61" s="17">
        <f t="shared" si="7"/>
        <v>-152.59900000000005</v>
      </c>
      <c r="J61" s="6"/>
      <c r="K61" s="6">
        <v>0</v>
      </c>
      <c r="L61" s="6"/>
      <c r="M61" s="6"/>
      <c r="N61" s="17">
        <f t="shared" si="6"/>
        <v>9.8471999999999991</v>
      </c>
      <c r="O61" s="11">
        <f>N61*O53</f>
        <v>231.01531199999999</v>
      </c>
      <c r="P61" s="11">
        <f>(N61*P53)*2</f>
        <v>610.723344</v>
      </c>
      <c r="Q61" s="50"/>
      <c r="R61" s="7"/>
      <c r="S61" s="36">
        <f>-(N61*O53)</f>
        <v>-231.01531199999999</v>
      </c>
      <c r="T61" s="36">
        <f>-(N61*P53)*2</f>
        <v>-610.723344</v>
      </c>
    </row>
    <row r="62" spans="1:20" x14ac:dyDescent="0.25">
      <c r="A62" s="5">
        <v>45809</v>
      </c>
      <c r="B62" s="6">
        <v>2774.9</v>
      </c>
      <c r="C62" s="6">
        <v>298.39999999999998</v>
      </c>
      <c r="D62" s="21" t="s">
        <v>27</v>
      </c>
      <c r="E62" s="6" t="s">
        <v>21</v>
      </c>
      <c r="F62" s="55">
        <v>394</v>
      </c>
      <c r="G62" s="55">
        <v>510.58699999999999</v>
      </c>
      <c r="H62" s="17">
        <v>34</v>
      </c>
      <c r="I62" s="17">
        <f t="shared" si="7"/>
        <v>-150.58699999999999</v>
      </c>
      <c r="J62" s="6"/>
      <c r="K62" s="6">
        <v>0</v>
      </c>
      <c r="L62" s="6"/>
      <c r="M62" s="6"/>
      <c r="N62" s="17">
        <f t="shared" si="6"/>
        <v>9.8471999999999991</v>
      </c>
      <c r="O62" s="11">
        <f>N62*O53</f>
        <v>231.01531199999999</v>
      </c>
      <c r="P62" s="11">
        <f>(N62*P53)*2</f>
        <v>610.723344</v>
      </c>
      <c r="Q62" s="50"/>
      <c r="R62" s="7"/>
      <c r="S62" s="36">
        <f>-(N62*O53)</f>
        <v>-231.01531199999999</v>
      </c>
      <c r="T62" s="36">
        <f>-(N62*P53)*2</f>
        <v>-610.723344</v>
      </c>
    </row>
    <row r="63" spans="1:20" x14ac:dyDescent="0.25">
      <c r="A63" s="5">
        <v>45839</v>
      </c>
      <c r="B63" s="6">
        <v>2774.9</v>
      </c>
      <c r="C63" s="6">
        <v>298.39999999999998</v>
      </c>
      <c r="D63" s="21" t="s">
        <v>27</v>
      </c>
      <c r="E63" s="6" t="s">
        <v>21</v>
      </c>
      <c r="F63" s="55">
        <v>380</v>
      </c>
      <c r="G63" s="55">
        <v>314.69900000000001</v>
      </c>
      <c r="H63" s="17">
        <v>35</v>
      </c>
      <c r="I63" s="17">
        <f t="shared" si="7"/>
        <v>30.300999999999988</v>
      </c>
      <c r="J63" s="6"/>
      <c r="K63" s="6">
        <v>0</v>
      </c>
      <c r="L63" s="6"/>
      <c r="M63" s="6"/>
      <c r="N63" s="17">
        <f t="shared" si="6"/>
        <v>9.8471999999999991</v>
      </c>
      <c r="O63" s="11">
        <f>N63*R53</f>
        <v>263.01871199999999</v>
      </c>
      <c r="P63" s="11">
        <f>(N63*S53)*2</f>
        <v>684.97123199999999</v>
      </c>
      <c r="Q63" s="50"/>
      <c r="R63" s="7"/>
      <c r="S63" s="36">
        <f>-(N63*R53)</f>
        <v>-263.01871199999999</v>
      </c>
      <c r="T63" s="36">
        <f>-(N63*S53)*2</f>
        <v>-684.97123199999999</v>
      </c>
    </row>
    <row r="64" spans="1:20" x14ac:dyDescent="0.25">
      <c r="A64" s="5">
        <v>45870</v>
      </c>
      <c r="B64" s="6">
        <v>2774.9</v>
      </c>
      <c r="C64" s="6">
        <v>298.39999999999998</v>
      </c>
      <c r="D64" s="21" t="s">
        <v>27</v>
      </c>
      <c r="E64" s="6" t="s">
        <v>21</v>
      </c>
      <c r="F64" s="55">
        <v>471</v>
      </c>
      <c r="G64" s="55">
        <v>518.21900000000005</v>
      </c>
      <c r="H64" s="17">
        <v>41</v>
      </c>
      <c r="I64" s="17">
        <f t="shared" si="7"/>
        <v>-88.219000000000051</v>
      </c>
      <c r="J64" s="6"/>
      <c r="K64" s="6">
        <v>0</v>
      </c>
      <c r="L64" s="6"/>
      <c r="M64" s="6"/>
      <c r="N64" s="17">
        <f t="shared" si="6"/>
        <v>9.8471999999999991</v>
      </c>
      <c r="O64" s="11">
        <f>N64*R53</f>
        <v>263.01871199999999</v>
      </c>
      <c r="P64" s="11">
        <f>(N64*S53)*2</f>
        <v>684.97123199999999</v>
      </c>
      <c r="Q64" s="50"/>
      <c r="R64" s="7"/>
      <c r="S64" s="36">
        <f>-(N64*R53)</f>
        <v>-263.01871199999999</v>
      </c>
      <c r="T64" s="36">
        <f>-(N64*S53)*2</f>
        <v>-684.97123199999999</v>
      </c>
    </row>
    <row r="65" spans="1:20" x14ac:dyDescent="0.25">
      <c r="A65" s="5">
        <v>45901</v>
      </c>
      <c r="B65" s="6">
        <v>2774.9</v>
      </c>
      <c r="C65" s="6">
        <v>298.39999999999998</v>
      </c>
      <c r="D65" s="21" t="s">
        <v>27</v>
      </c>
      <c r="E65" s="6" t="s">
        <v>21</v>
      </c>
      <c r="F65" s="55">
        <v>526</v>
      </c>
      <c r="G65" s="55">
        <v>532.721</v>
      </c>
      <c r="H65" s="17">
        <v>27</v>
      </c>
      <c r="I65" s="17">
        <f t="shared" si="7"/>
        <v>-33.721000000000004</v>
      </c>
      <c r="J65" s="6"/>
      <c r="K65" s="6">
        <v>0</v>
      </c>
      <c r="L65" s="6"/>
      <c r="M65" s="6"/>
      <c r="N65" s="17">
        <f t="shared" si="6"/>
        <v>9.8471999999999991</v>
      </c>
      <c r="O65" s="11">
        <f>N65*R53</f>
        <v>263.01871199999999</v>
      </c>
      <c r="P65" s="11">
        <f>(N65*S53)*2</f>
        <v>684.97123199999999</v>
      </c>
      <c r="Q65" s="50"/>
      <c r="R65" s="7"/>
      <c r="S65" s="36">
        <f>-(N65*R53)</f>
        <v>-263.01871199999999</v>
      </c>
      <c r="T65" s="36">
        <f>-(N65*S53)*2</f>
        <v>-684.97123199999999</v>
      </c>
    </row>
    <row r="66" spans="1:20" x14ac:dyDescent="0.25">
      <c r="A66" s="5">
        <v>45931</v>
      </c>
      <c r="B66" s="6">
        <v>2774.9</v>
      </c>
      <c r="C66" s="6">
        <v>298.39999999999998</v>
      </c>
      <c r="D66" s="21" t="s">
        <v>27</v>
      </c>
      <c r="E66" s="6" t="s">
        <v>21</v>
      </c>
      <c r="F66" s="55">
        <v>535</v>
      </c>
      <c r="G66" s="55">
        <v>541.18799999999999</v>
      </c>
      <c r="H66" s="17">
        <v>0</v>
      </c>
      <c r="I66" s="17">
        <f t="shared" si="7"/>
        <v>-6.1879999999999882</v>
      </c>
      <c r="J66" s="6"/>
      <c r="K66" s="6">
        <v>0</v>
      </c>
      <c r="L66" s="6"/>
      <c r="M66" s="6"/>
      <c r="N66" s="17">
        <f t="shared" si="6"/>
        <v>9.8471999999999991</v>
      </c>
      <c r="O66" s="11">
        <f>N66*R53</f>
        <v>263.01871199999999</v>
      </c>
      <c r="P66" s="11">
        <f>(N66*S53)*2</f>
        <v>684.97123199999999</v>
      </c>
      <c r="Q66" s="50"/>
      <c r="R66" s="7"/>
      <c r="S66" s="36">
        <f>-(N66*R53)</f>
        <v>-263.01871199999999</v>
      </c>
      <c r="T66" s="36">
        <f>-(N66*S53)*2</f>
        <v>-684.97123199999999</v>
      </c>
    </row>
    <row r="67" spans="1:20" x14ac:dyDescent="0.25">
      <c r="A67" s="5">
        <v>45962</v>
      </c>
      <c r="B67" s="6">
        <v>2774.9</v>
      </c>
      <c r="C67" s="6">
        <v>298.39999999999998</v>
      </c>
      <c r="D67" s="21" t="s">
        <v>27</v>
      </c>
      <c r="E67" s="6" t="s">
        <v>21</v>
      </c>
      <c r="F67" s="55">
        <v>628</v>
      </c>
      <c r="G67" s="55">
        <v>554.44000000000005</v>
      </c>
      <c r="H67" s="17">
        <v>0</v>
      </c>
      <c r="I67" s="17">
        <f t="shared" si="7"/>
        <v>73.559999999999945</v>
      </c>
      <c r="J67" s="6"/>
      <c r="K67" s="6">
        <v>0</v>
      </c>
      <c r="L67" s="6"/>
      <c r="M67" s="6"/>
      <c r="N67" s="17">
        <f t="shared" si="6"/>
        <v>9.8471999999999991</v>
      </c>
      <c r="O67" s="11">
        <f>N67*R53</f>
        <v>263.01871199999999</v>
      </c>
      <c r="P67" s="11">
        <f>(N67*S53)*2</f>
        <v>684.97123199999999</v>
      </c>
      <c r="Q67" s="50"/>
      <c r="R67" s="7"/>
      <c r="S67" s="36">
        <f>-(N67*R53)</f>
        <v>-263.01871199999999</v>
      </c>
      <c r="T67" s="36">
        <f>-(N67*S53)*2</f>
        <v>-684.97123199999999</v>
      </c>
    </row>
    <row r="68" spans="1:20" x14ac:dyDescent="0.25">
      <c r="A68" s="5">
        <v>45992</v>
      </c>
      <c r="B68" s="6">
        <v>2774.9</v>
      </c>
      <c r="C68" s="6">
        <v>298.39999999999998</v>
      </c>
      <c r="D68" s="21" t="s">
        <v>27</v>
      </c>
      <c r="E68" s="6" t="s">
        <v>21</v>
      </c>
      <c r="F68" s="55">
        <v>562</v>
      </c>
      <c r="G68" s="55">
        <v>559.70799999999997</v>
      </c>
      <c r="H68" s="17">
        <v>31</v>
      </c>
      <c r="I68" s="17">
        <f t="shared" si="7"/>
        <v>-28.70799999999997</v>
      </c>
      <c r="J68" s="6"/>
      <c r="K68" s="6">
        <v>0</v>
      </c>
      <c r="L68" s="6"/>
      <c r="M68" s="6"/>
      <c r="N68" s="17">
        <f t="shared" si="6"/>
        <v>9.8471999999999991</v>
      </c>
      <c r="O68" s="11">
        <f>N68*R53</f>
        <v>263.01871199999999</v>
      </c>
      <c r="P68" s="11">
        <f>(N68*S53)*2</f>
        <v>684.97123199999999</v>
      </c>
      <c r="Q68" s="50"/>
      <c r="R68" s="7"/>
      <c r="S68" s="36">
        <f>-(N68*R53)</f>
        <v>-263.01871199999999</v>
      </c>
      <c r="T68" s="36">
        <f>-(N68*S53)*2</f>
        <v>-684.97123199999999</v>
      </c>
    </row>
    <row r="69" spans="1:20" x14ac:dyDescent="0.25">
      <c r="A69" s="62"/>
      <c r="B69" s="1"/>
      <c r="C69" s="1"/>
      <c r="N69" s="60"/>
      <c r="O69" s="39">
        <f>SUM(O57:O68)</f>
        <v>2964.2041440000003</v>
      </c>
      <c r="P69" s="39">
        <f>SUM(P57:P68)</f>
        <v>7774.1674559999992</v>
      </c>
      <c r="Q69" s="41"/>
      <c r="R69" s="41"/>
      <c r="S69" s="39">
        <f>SUM(S57:S68)</f>
        <v>-2964.2041440000003</v>
      </c>
      <c r="T69" s="39">
        <f>SUM(T57:T68)</f>
        <v>-7774.1674559999992</v>
      </c>
    </row>
    <row r="70" spans="1:20" x14ac:dyDescent="0.25">
      <c r="A70" s="62"/>
      <c r="B70" s="1"/>
      <c r="C70" s="1"/>
      <c r="O70" s="41"/>
      <c r="P70" s="41"/>
      <c r="Q70" s="41"/>
      <c r="R70" s="41" t="s">
        <v>41</v>
      </c>
      <c r="T70" s="41"/>
    </row>
    <row r="71" spans="1:20" x14ac:dyDescent="0.25">
      <c r="A71" s="62"/>
      <c r="B71" s="1"/>
      <c r="C71" s="1"/>
      <c r="O71" s="41"/>
      <c r="P71" s="41"/>
      <c r="Q71" s="41"/>
      <c r="R71" s="41"/>
      <c r="S71" s="41"/>
      <c r="T71" s="42">
        <f>S69+T69</f>
        <v>-10738.371599999999</v>
      </c>
    </row>
  </sheetData>
  <sheetProtection algorithmName="SHA-512" hashValue="WsBGPqqp5uIl4+qf3Cp7EkRF6hMpVPFyEyhHiSghx6hksizOauuhPisV1a22Ih+25PSR/NsSEdl3R0gLCkX0FA==" saltValue="+DwuJmlPYQlA09d+zd4Kcg==" spinCount="100000" sheet="1" objects="1" scenarios="1" selectLockedCells="1" selectUnlockedCells="1"/>
  <mergeCells count="43">
    <mergeCell ref="A1:Q1"/>
    <mergeCell ref="G5:G6"/>
    <mergeCell ref="A3:D3"/>
    <mergeCell ref="A5:A6"/>
    <mergeCell ref="D5:D6"/>
    <mergeCell ref="E5:E6"/>
    <mergeCell ref="F5:F6"/>
    <mergeCell ref="C5:C6"/>
    <mergeCell ref="Q5:R5"/>
    <mergeCell ref="N5:N6"/>
    <mergeCell ref="I5:I6"/>
    <mergeCell ref="B5:B6"/>
    <mergeCell ref="L5:L6"/>
    <mergeCell ref="T5:T6"/>
    <mergeCell ref="P5:P6"/>
    <mergeCell ref="H5:H6"/>
    <mergeCell ref="H3:M3"/>
    <mergeCell ref="H4:M4"/>
    <mergeCell ref="J8:K8"/>
    <mergeCell ref="M5:M6"/>
    <mergeCell ref="O5:O6"/>
    <mergeCell ref="J5:K5"/>
    <mergeCell ref="S5:S6"/>
    <mergeCell ref="A53:D53"/>
    <mergeCell ref="H53:M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K54"/>
    <mergeCell ref="L54:L55"/>
    <mergeCell ref="M54:M55"/>
    <mergeCell ref="T54:T55"/>
    <mergeCell ref="N54:N55"/>
    <mergeCell ref="O54:O55"/>
    <mergeCell ref="P54:P55"/>
    <mergeCell ref="Q54:R54"/>
    <mergeCell ref="S54:S55"/>
  </mergeCells>
  <phoneticPr fontId="4" type="noConversion"/>
  <pageMargins left="0.25" right="0.25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opLeftCell="A50" zoomScale="70" zoomScaleNormal="70" workbookViewId="0">
      <selection activeCell="O79" sqref="O79"/>
    </sheetView>
  </sheetViews>
  <sheetFormatPr defaultRowHeight="15" x14ac:dyDescent="0.25"/>
  <cols>
    <col min="1" max="1" width="9.5703125" style="2" customWidth="1"/>
    <col min="2" max="2" width="17" customWidth="1"/>
    <col min="3" max="3" width="14" customWidth="1"/>
    <col min="4" max="4" width="18.57031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17.5703125" customWidth="1"/>
    <col min="14" max="14" width="19.7109375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ht="15" hidden="1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ht="15" hidden="1" customHeight="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58" t="s">
        <v>21</v>
      </c>
      <c r="R2" s="58" t="s">
        <v>33</v>
      </c>
    </row>
    <row r="3" spans="1:20" ht="18.75" hidden="1" customHeight="1" x14ac:dyDescent="0.25">
      <c r="A3" s="68" t="s">
        <v>12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  <c r="Q3" s="59">
        <v>21.16</v>
      </c>
      <c r="R3" s="57">
        <v>29.02</v>
      </c>
    </row>
    <row r="4" spans="1:20" ht="15" hidden="1" customHeight="1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  <c r="Q4" s="57">
        <v>23.46</v>
      </c>
      <c r="R4" s="57">
        <v>31.01</v>
      </c>
    </row>
    <row r="5" spans="1:20" ht="83.25" hidden="1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hidden="1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0" ht="15" hidden="1" customHeight="1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ht="15" hidden="1" customHeight="1" x14ac:dyDescent="0.25">
      <c r="A8" s="5">
        <v>44805</v>
      </c>
      <c r="B8" s="8">
        <v>2784.8</v>
      </c>
      <c r="C8" s="6">
        <v>301.60000000000002</v>
      </c>
      <c r="D8" s="21" t="s">
        <v>28</v>
      </c>
      <c r="E8" s="8" t="s">
        <v>21</v>
      </c>
      <c r="F8" s="16">
        <v>403</v>
      </c>
      <c r="G8" s="16">
        <v>477.62599999999998</v>
      </c>
      <c r="H8" s="16"/>
      <c r="I8" s="16">
        <f t="shared" ref="I8:I11" si="0">F8-(G8+H8)</f>
        <v>-74.625999999999976</v>
      </c>
      <c r="J8" s="8"/>
      <c r="K8" s="8">
        <v>0</v>
      </c>
      <c r="L8" s="15"/>
      <c r="M8" s="15"/>
      <c r="N8" s="16">
        <v>9.6509999999999998</v>
      </c>
      <c r="O8" s="9">
        <f>N8*O3</f>
        <v>170.24364</v>
      </c>
      <c r="P8" s="9">
        <f>N8*P3</f>
        <v>259.90143</v>
      </c>
      <c r="Q8" s="16">
        <f>N8</f>
        <v>9.6509999999999998</v>
      </c>
      <c r="R8" s="8"/>
      <c r="S8" s="36">
        <f>-(Q8*O3)</f>
        <v>-170.24364</v>
      </c>
      <c r="T8" s="36">
        <f>-(Q8*P3)</f>
        <v>-259.90143</v>
      </c>
    </row>
    <row r="9" spans="1:20" ht="15" hidden="1" customHeight="1" x14ac:dyDescent="0.25">
      <c r="A9" s="5">
        <v>44835</v>
      </c>
      <c r="B9" s="8">
        <v>2784.8</v>
      </c>
      <c r="C9" s="6">
        <v>301.60000000000002</v>
      </c>
      <c r="D9" s="21" t="s">
        <v>28</v>
      </c>
      <c r="E9" s="8" t="s">
        <v>21</v>
      </c>
      <c r="F9" s="16">
        <v>362</v>
      </c>
      <c r="G9" s="16">
        <v>638</v>
      </c>
      <c r="H9" s="16"/>
      <c r="I9" s="16">
        <f t="shared" si="0"/>
        <v>-276</v>
      </c>
      <c r="J9" s="8"/>
      <c r="K9" s="8">
        <v>0</v>
      </c>
      <c r="L9" s="8"/>
      <c r="M9" s="8"/>
      <c r="N9" s="16">
        <v>9.6509999999999998</v>
      </c>
      <c r="O9" s="9">
        <f>N9*O3</f>
        <v>170.24364</v>
      </c>
      <c r="P9" s="9">
        <f>N9*P3</f>
        <v>259.90143</v>
      </c>
      <c r="Q9" s="16">
        <f t="shared" ref="Q9:Q11" si="1">N9</f>
        <v>9.6509999999999998</v>
      </c>
      <c r="R9" s="8"/>
      <c r="S9" s="36">
        <f>-(Q9*O3)</f>
        <v>-170.24364</v>
      </c>
      <c r="T9" s="36">
        <f>-(Q9*P3)</f>
        <v>-259.90143</v>
      </c>
    </row>
    <row r="10" spans="1:20" ht="15" hidden="1" customHeight="1" x14ac:dyDescent="0.25">
      <c r="A10" s="5">
        <v>44866</v>
      </c>
      <c r="B10" s="8">
        <v>2784.8</v>
      </c>
      <c r="C10" s="6">
        <v>301.60000000000002</v>
      </c>
      <c r="D10" s="21" t="s">
        <v>28</v>
      </c>
      <c r="E10" s="6" t="s">
        <v>21</v>
      </c>
      <c r="F10" s="17">
        <v>404</v>
      </c>
      <c r="G10" s="17">
        <v>411.14299999999997</v>
      </c>
      <c r="H10" s="17"/>
      <c r="I10" s="16">
        <f t="shared" si="0"/>
        <v>-7.1429999999999723</v>
      </c>
      <c r="J10" s="6"/>
      <c r="K10" s="6">
        <v>0</v>
      </c>
      <c r="L10" s="6"/>
      <c r="M10" s="6"/>
      <c r="N10" s="16">
        <v>9.6509999999999998</v>
      </c>
      <c r="O10" s="9">
        <f>N10*O3</f>
        <v>170.24364</v>
      </c>
      <c r="P10" s="9">
        <f>N10*P3</f>
        <v>259.90143</v>
      </c>
      <c r="Q10" s="16">
        <f t="shared" si="1"/>
        <v>9.6509999999999998</v>
      </c>
      <c r="R10" s="6"/>
      <c r="S10" s="36">
        <f>-(Q10*O3)</f>
        <v>-170.24364</v>
      </c>
      <c r="T10" s="36">
        <f>-(Q10*P3)</f>
        <v>-259.90143</v>
      </c>
    </row>
    <row r="11" spans="1:20" ht="15" hidden="1" customHeight="1" x14ac:dyDescent="0.25">
      <c r="A11" s="5">
        <v>44896</v>
      </c>
      <c r="B11" s="6">
        <v>2784.8</v>
      </c>
      <c r="C11" s="6">
        <v>301.60000000000002</v>
      </c>
      <c r="D11" s="21" t="s">
        <v>28</v>
      </c>
      <c r="E11" s="6" t="s">
        <v>21</v>
      </c>
      <c r="F11" s="17">
        <v>390</v>
      </c>
      <c r="G11" s="17">
        <v>461.38299999999998</v>
      </c>
      <c r="H11" s="17"/>
      <c r="I11" s="17">
        <f t="shared" si="0"/>
        <v>-71.382999999999981</v>
      </c>
      <c r="J11" s="6"/>
      <c r="K11" s="6">
        <v>0</v>
      </c>
      <c r="L11" s="6"/>
      <c r="M11" s="6"/>
      <c r="N11" s="17">
        <v>9.6509999999999998</v>
      </c>
      <c r="O11" s="11">
        <f>N11*O4</f>
        <v>204.21516</v>
      </c>
      <c r="P11" s="11">
        <f>N11*P4</f>
        <v>280.07202000000001</v>
      </c>
      <c r="Q11" s="17">
        <f t="shared" si="1"/>
        <v>9.6509999999999998</v>
      </c>
      <c r="R11" s="6"/>
      <c r="S11" s="36">
        <f>-(Q11*O4)</f>
        <v>-204.21516</v>
      </c>
      <c r="T11" s="36">
        <f>-(Q11*P4)</f>
        <v>-280.07202000000001</v>
      </c>
    </row>
    <row r="12" spans="1:20" ht="15" hidden="1" customHeight="1" x14ac:dyDescent="0.25">
      <c r="B12" s="1"/>
      <c r="C12" s="1"/>
      <c r="N12" s="38" t="s">
        <v>46</v>
      </c>
      <c r="O12" s="39">
        <f>SUM(O8:O11)</f>
        <v>714.94607999999994</v>
      </c>
      <c r="P12" s="43">
        <f>SUM(P8:P11)</f>
        <v>1059.77631</v>
      </c>
      <c r="Q12" s="41"/>
      <c r="R12" s="41"/>
      <c r="S12" s="42">
        <f>SUM(S8:S11)</f>
        <v>-714.94607999999994</v>
      </c>
      <c r="T12" s="42">
        <f>SUM(T8:T11)</f>
        <v>-1059.77631</v>
      </c>
    </row>
    <row r="13" spans="1:20" ht="15" hidden="1" customHeight="1" x14ac:dyDescent="0.25">
      <c r="B13" s="1"/>
      <c r="C13" s="1"/>
      <c r="N13" s="41"/>
      <c r="O13" s="41"/>
      <c r="P13" s="41"/>
      <c r="Q13" s="41"/>
      <c r="R13" s="41" t="s">
        <v>41</v>
      </c>
      <c r="T13" s="41"/>
    </row>
    <row r="14" spans="1:20" ht="15" hidden="1" customHeight="1" x14ac:dyDescent="0.25">
      <c r="B14" s="1"/>
      <c r="C14" s="1"/>
      <c r="N14" s="41"/>
      <c r="O14" s="41"/>
      <c r="P14" s="41"/>
      <c r="Q14" s="41"/>
      <c r="R14" s="41"/>
      <c r="S14" s="41"/>
      <c r="T14" s="42">
        <f>T12+S12</f>
        <v>-1774.7223899999999</v>
      </c>
    </row>
    <row r="15" spans="1:20" ht="15" hidden="1" customHeight="1" x14ac:dyDescent="0.25">
      <c r="A15" s="5">
        <v>44927</v>
      </c>
      <c r="B15" s="6">
        <v>2784.8</v>
      </c>
      <c r="C15" s="6">
        <v>301.60000000000002</v>
      </c>
      <c r="D15" s="21" t="s">
        <v>28</v>
      </c>
      <c r="E15" s="6" t="s">
        <v>21</v>
      </c>
      <c r="F15" s="17">
        <v>433</v>
      </c>
      <c r="G15" s="17">
        <v>473.34300000000002</v>
      </c>
      <c r="H15" s="17"/>
      <c r="I15" s="17">
        <f>F15-(G15+H15)</f>
        <v>-40.343000000000018</v>
      </c>
      <c r="J15" s="6"/>
      <c r="K15" s="6">
        <v>0</v>
      </c>
      <c r="L15" s="6"/>
      <c r="M15" s="6"/>
      <c r="N15" s="17">
        <v>9.6509999999999998</v>
      </c>
      <c r="O15" s="11">
        <f>N15*O4</f>
        <v>204.21516</v>
      </c>
      <c r="P15" s="11">
        <f>N15*P4</f>
        <v>280.07202000000001</v>
      </c>
      <c r="Q15" s="50">
        <f t="shared" ref="Q15:Q26" si="2">N15</f>
        <v>9.6509999999999998</v>
      </c>
      <c r="R15" s="7"/>
      <c r="S15" s="36">
        <f>-(Q15*O4)</f>
        <v>-204.21516</v>
      </c>
      <c r="T15" s="36">
        <f>-(Q15*P4)</f>
        <v>-280.07202000000001</v>
      </c>
    </row>
    <row r="16" spans="1:20" ht="15" hidden="1" customHeight="1" x14ac:dyDescent="0.25">
      <c r="A16" s="5">
        <v>44958</v>
      </c>
      <c r="B16" s="6">
        <v>2784.8</v>
      </c>
      <c r="C16" s="6">
        <v>301.60000000000002</v>
      </c>
      <c r="D16" s="21" t="s">
        <v>65</v>
      </c>
      <c r="E16" s="6" t="s">
        <v>21</v>
      </c>
      <c r="F16" s="17">
        <v>367</v>
      </c>
      <c r="G16" s="17">
        <v>500.13</v>
      </c>
      <c r="H16" s="17"/>
      <c r="I16" s="17">
        <f t="shared" ref="I16:I26" si="3">F16-(G16+H16)</f>
        <v>-133.13</v>
      </c>
      <c r="J16" s="6"/>
      <c r="K16" s="6">
        <v>0</v>
      </c>
      <c r="L16" s="6"/>
      <c r="M16" s="6"/>
      <c r="N16" s="17">
        <v>9.6509999999999998</v>
      </c>
      <c r="O16" s="11">
        <f>N16*O4</f>
        <v>204.21516</v>
      </c>
      <c r="P16" s="11">
        <f>N16*P4</f>
        <v>280.07202000000001</v>
      </c>
      <c r="Q16" s="50">
        <f t="shared" si="2"/>
        <v>9.6509999999999998</v>
      </c>
      <c r="R16" s="7"/>
      <c r="S16" s="36">
        <f>-(Q16*O4)</f>
        <v>-204.21516</v>
      </c>
      <c r="T16" s="36">
        <f>-(Q16*P4)</f>
        <v>-280.07202000000001</v>
      </c>
    </row>
    <row r="17" spans="1:20" ht="15" hidden="1" customHeight="1" x14ac:dyDescent="0.25">
      <c r="A17" s="5">
        <v>44986</v>
      </c>
      <c r="B17" s="6">
        <v>2784.8</v>
      </c>
      <c r="C17" s="6">
        <v>301.60000000000002</v>
      </c>
      <c r="D17" s="21" t="s">
        <v>66</v>
      </c>
      <c r="E17" s="6" t="s">
        <v>21</v>
      </c>
      <c r="F17" s="17">
        <v>382</v>
      </c>
      <c r="G17" s="17">
        <v>385.23</v>
      </c>
      <c r="H17" s="17"/>
      <c r="I17" s="17">
        <f t="shared" si="3"/>
        <v>-3.2300000000000182</v>
      </c>
      <c r="J17" s="6"/>
      <c r="K17" s="6">
        <v>0</v>
      </c>
      <c r="L17" s="6"/>
      <c r="M17" s="6"/>
      <c r="N17" s="17">
        <v>9.6509999999999998</v>
      </c>
      <c r="O17" s="11">
        <f>N17*O4</f>
        <v>204.21516</v>
      </c>
      <c r="P17" s="11">
        <f>N17*P4</f>
        <v>280.07202000000001</v>
      </c>
      <c r="Q17" s="50">
        <f t="shared" si="2"/>
        <v>9.6509999999999998</v>
      </c>
      <c r="R17" s="7"/>
      <c r="S17" s="36">
        <f>-(Q17*O4)</f>
        <v>-204.21516</v>
      </c>
      <c r="T17" s="36">
        <f>-(Q17*P4)</f>
        <v>-280.07202000000001</v>
      </c>
    </row>
    <row r="18" spans="1:20" ht="15" hidden="1" customHeight="1" x14ac:dyDescent="0.25">
      <c r="A18" s="5">
        <v>45017</v>
      </c>
      <c r="B18" s="6">
        <v>2784.8</v>
      </c>
      <c r="C18" s="6">
        <v>301.60000000000002</v>
      </c>
      <c r="D18" s="21" t="s">
        <v>67</v>
      </c>
      <c r="E18" s="6" t="s">
        <v>21</v>
      </c>
      <c r="F18" s="17">
        <v>422</v>
      </c>
      <c r="G18" s="17">
        <v>493.00400000000002</v>
      </c>
      <c r="H18" s="17"/>
      <c r="I18" s="17">
        <f t="shared" si="3"/>
        <v>-71.004000000000019</v>
      </c>
      <c r="J18" s="6"/>
      <c r="K18" s="6">
        <v>0</v>
      </c>
      <c r="L18" s="6"/>
      <c r="M18" s="6"/>
      <c r="N18" s="17">
        <v>9.6509999999999998</v>
      </c>
      <c r="O18" s="11">
        <f>N18*O4</f>
        <v>204.21516</v>
      </c>
      <c r="P18" s="11">
        <f>N18*P4</f>
        <v>280.07202000000001</v>
      </c>
      <c r="Q18" s="50">
        <f t="shared" si="2"/>
        <v>9.6509999999999998</v>
      </c>
      <c r="R18" s="7"/>
      <c r="S18" s="36">
        <f>-(Q18*O4)</f>
        <v>-204.21516</v>
      </c>
      <c r="T18" s="36">
        <f>-(Q18*P4)</f>
        <v>-280.07202000000001</v>
      </c>
    </row>
    <row r="19" spans="1:20" ht="15" hidden="1" customHeight="1" x14ac:dyDescent="0.25">
      <c r="A19" s="5">
        <v>45047</v>
      </c>
      <c r="B19" s="6">
        <v>2784.8</v>
      </c>
      <c r="C19" s="6">
        <v>301.60000000000002</v>
      </c>
      <c r="D19" s="21" t="s">
        <v>68</v>
      </c>
      <c r="E19" s="6" t="s">
        <v>21</v>
      </c>
      <c r="F19" s="17">
        <v>340</v>
      </c>
      <c r="G19" s="17">
        <v>483.4</v>
      </c>
      <c r="H19" s="17"/>
      <c r="I19" s="17">
        <f t="shared" si="3"/>
        <v>-143.39999999999998</v>
      </c>
      <c r="J19" s="6"/>
      <c r="K19" s="6">
        <v>0</v>
      </c>
      <c r="L19" s="6"/>
      <c r="M19" s="6"/>
      <c r="N19" s="17">
        <v>9.6509999999999998</v>
      </c>
      <c r="O19" s="11">
        <f>N19*O4</f>
        <v>204.21516</v>
      </c>
      <c r="P19" s="11">
        <f>N19*P4</f>
        <v>280.07202000000001</v>
      </c>
      <c r="Q19" s="50">
        <f t="shared" si="2"/>
        <v>9.6509999999999998</v>
      </c>
      <c r="R19" s="7"/>
      <c r="S19" s="36">
        <f>-(Q19*O4)</f>
        <v>-204.21516</v>
      </c>
      <c r="T19" s="36">
        <f>-(Q19*P4)</f>
        <v>-280.07202000000001</v>
      </c>
    </row>
    <row r="20" spans="1:20" ht="15" hidden="1" customHeight="1" x14ac:dyDescent="0.25">
      <c r="A20" s="5">
        <v>45078</v>
      </c>
      <c r="B20" s="6">
        <v>2784.8</v>
      </c>
      <c r="C20" s="6">
        <v>301.60000000000002</v>
      </c>
      <c r="D20" s="21" t="s">
        <v>69</v>
      </c>
      <c r="E20" s="6" t="s">
        <v>21</v>
      </c>
      <c r="F20" s="17">
        <v>292</v>
      </c>
      <c r="G20" s="17">
        <v>465.24900000000002</v>
      </c>
      <c r="H20" s="17"/>
      <c r="I20" s="17">
        <f t="shared" si="3"/>
        <v>-173.24900000000002</v>
      </c>
      <c r="J20" s="6"/>
      <c r="K20" s="6">
        <v>0</v>
      </c>
      <c r="L20" s="6"/>
      <c r="M20" s="6"/>
      <c r="N20" s="17">
        <v>9.6509999999999998</v>
      </c>
      <c r="O20" s="11">
        <f>N20*O4</f>
        <v>204.21516</v>
      </c>
      <c r="P20" s="11">
        <f>N20*P4</f>
        <v>280.07202000000001</v>
      </c>
      <c r="Q20" s="50">
        <f t="shared" si="2"/>
        <v>9.6509999999999998</v>
      </c>
      <c r="R20" s="7"/>
      <c r="S20" s="36">
        <f>-(Q20*O4)</f>
        <v>-204.21516</v>
      </c>
      <c r="T20" s="36">
        <f>-(Q20*P4)</f>
        <v>-280.07202000000001</v>
      </c>
    </row>
    <row r="21" spans="1:20" ht="15" hidden="1" customHeight="1" x14ac:dyDescent="0.25">
      <c r="A21" s="5">
        <v>45108</v>
      </c>
      <c r="B21" s="6">
        <v>2784.8</v>
      </c>
      <c r="C21" s="6">
        <v>301.60000000000002</v>
      </c>
      <c r="D21" s="21" t="s">
        <v>70</v>
      </c>
      <c r="E21" s="6" t="s">
        <v>21</v>
      </c>
      <c r="F21" s="17">
        <v>447</v>
      </c>
      <c r="G21" s="17">
        <v>476.82</v>
      </c>
      <c r="H21" s="17"/>
      <c r="I21" s="17">
        <f t="shared" si="3"/>
        <v>-29.819999999999993</v>
      </c>
      <c r="J21" s="6"/>
      <c r="K21" s="6">
        <v>0</v>
      </c>
      <c r="L21" s="6"/>
      <c r="M21" s="6"/>
      <c r="N21" s="17">
        <v>9.6509999999999998</v>
      </c>
      <c r="O21" s="11">
        <f>N21*O4</f>
        <v>204.21516</v>
      </c>
      <c r="P21" s="11">
        <f>N21*P4</f>
        <v>280.07202000000001</v>
      </c>
      <c r="Q21" s="50">
        <f t="shared" si="2"/>
        <v>9.6509999999999998</v>
      </c>
      <c r="R21" s="7"/>
      <c r="S21" s="36">
        <f>-(Q21*O4)</f>
        <v>-204.21516</v>
      </c>
      <c r="T21" s="36">
        <f>-(Q21*P4)</f>
        <v>-280.07202000000001</v>
      </c>
    </row>
    <row r="22" spans="1:20" ht="15" hidden="1" customHeight="1" x14ac:dyDescent="0.25">
      <c r="A22" s="5">
        <v>45139</v>
      </c>
      <c r="B22" s="6">
        <v>2784.8</v>
      </c>
      <c r="C22" s="6">
        <v>301.60000000000002</v>
      </c>
      <c r="D22" s="21" t="s">
        <v>71</v>
      </c>
      <c r="E22" s="6" t="s">
        <v>21</v>
      </c>
      <c r="F22" s="17">
        <v>414</v>
      </c>
      <c r="G22" s="17">
        <v>460.75</v>
      </c>
      <c r="H22" s="17"/>
      <c r="I22" s="17">
        <f t="shared" si="3"/>
        <v>-46.75</v>
      </c>
      <c r="J22" s="6"/>
      <c r="K22" s="6">
        <v>0</v>
      </c>
      <c r="L22" s="6"/>
      <c r="M22" s="6"/>
      <c r="N22" s="17">
        <v>9.6509999999999998</v>
      </c>
      <c r="O22" s="11">
        <f>N22*O4</f>
        <v>204.21516</v>
      </c>
      <c r="P22" s="11">
        <f>N22*P4</f>
        <v>280.07202000000001</v>
      </c>
      <c r="Q22" s="50">
        <f t="shared" si="2"/>
        <v>9.6509999999999998</v>
      </c>
      <c r="R22" s="7"/>
      <c r="S22" s="36">
        <f>-(Q22*O4)</f>
        <v>-204.21516</v>
      </c>
      <c r="T22" s="36">
        <f>-(Q22*P4)</f>
        <v>-280.07202000000001</v>
      </c>
    </row>
    <row r="23" spans="1:20" ht="15" hidden="1" customHeight="1" x14ac:dyDescent="0.25">
      <c r="A23" s="5">
        <v>45170</v>
      </c>
      <c r="B23" s="6">
        <v>2784.8</v>
      </c>
      <c r="C23" s="6">
        <v>301.60000000000002</v>
      </c>
      <c r="D23" s="21" t="s">
        <v>72</v>
      </c>
      <c r="E23" s="6" t="s">
        <v>21</v>
      </c>
      <c r="F23" s="17">
        <v>357</v>
      </c>
      <c r="G23" s="17">
        <v>469.91</v>
      </c>
      <c r="H23" s="17"/>
      <c r="I23" s="17">
        <f t="shared" si="3"/>
        <v>-112.91000000000003</v>
      </c>
      <c r="J23" s="6"/>
      <c r="K23" s="6">
        <v>0</v>
      </c>
      <c r="L23" s="6"/>
      <c r="M23" s="6"/>
      <c r="N23" s="17">
        <v>9.6509999999999998</v>
      </c>
      <c r="O23" s="11">
        <f>N23*O4</f>
        <v>204.21516</v>
      </c>
      <c r="P23" s="11">
        <f>N23*P4</f>
        <v>280.07202000000001</v>
      </c>
      <c r="Q23" s="50">
        <f t="shared" si="2"/>
        <v>9.6509999999999998</v>
      </c>
      <c r="R23" s="7"/>
      <c r="S23" s="36">
        <f>-(Q23*O4)</f>
        <v>-204.21516</v>
      </c>
      <c r="T23" s="36">
        <f>-(Q23*P4)</f>
        <v>-280.07202000000001</v>
      </c>
    </row>
    <row r="24" spans="1:20" ht="15" hidden="1" customHeight="1" x14ac:dyDescent="0.25">
      <c r="A24" s="5">
        <v>45200</v>
      </c>
      <c r="B24" s="6">
        <v>2784.8</v>
      </c>
      <c r="C24" s="6">
        <v>301.60000000000002</v>
      </c>
      <c r="D24" s="21" t="s">
        <v>73</v>
      </c>
      <c r="E24" s="6" t="s">
        <v>21</v>
      </c>
      <c r="F24" s="17">
        <v>384</v>
      </c>
      <c r="G24" s="17">
        <v>454.63299999999998</v>
      </c>
      <c r="H24" s="17"/>
      <c r="I24" s="17">
        <f t="shared" si="3"/>
        <v>-70.632999999999981</v>
      </c>
      <c r="J24" s="6"/>
      <c r="K24" s="6">
        <v>0</v>
      </c>
      <c r="L24" s="6"/>
      <c r="M24" s="6"/>
      <c r="N24" s="17">
        <v>9.6509999999999998</v>
      </c>
      <c r="O24" s="11">
        <f>N24*O4</f>
        <v>204.21516</v>
      </c>
      <c r="P24" s="11">
        <f>N24*P4</f>
        <v>280.07202000000001</v>
      </c>
      <c r="Q24" s="50">
        <f t="shared" si="2"/>
        <v>9.6509999999999998</v>
      </c>
      <c r="R24" s="7"/>
      <c r="S24" s="36">
        <f>-(Q24*O4)</f>
        <v>-204.21516</v>
      </c>
      <c r="T24" s="36">
        <f>-(Q24*P4)</f>
        <v>-280.07202000000001</v>
      </c>
    </row>
    <row r="25" spans="1:20" ht="15" hidden="1" customHeight="1" x14ac:dyDescent="0.25">
      <c r="A25" s="5">
        <v>45231</v>
      </c>
      <c r="B25" s="6">
        <v>2784.8</v>
      </c>
      <c r="C25" s="6">
        <v>301.60000000000002</v>
      </c>
      <c r="D25" s="21" t="s">
        <v>74</v>
      </c>
      <c r="E25" s="6" t="s">
        <v>21</v>
      </c>
      <c r="F25" s="17">
        <v>394</v>
      </c>
      <c r="G25" s="17">
        <v>488.404</v>
      </c>
      <c r="H25" s="17"/>
      <c r="I25" s="17">
        <f t="shared" si="3"/>
        <v>-94.403999999999996</v>
      </c>
      <c r="J25" s="6"/>
      <c r="K25" s="6">
        <v>0</v>
      </c>
      <c r="L25" s="6"/>
      <c r="M25" s="6"/>
      <c r="N25" s="17">
        <v>9.6509999999999998</v>
      </c>
      <c r="O25" s="11">
        <f>N25*O4</f>
        <v>204.21516</v>
      </c>
      <c r="P25" s="11">
        <f>N25*P4</f>
        <v>280.07202000000001</v>
      </c>
      <c r="Q25" s="50">
        <f t="shared" si="2"/>
        <v>9.6509999999999998</v>
      </c>
      <c r="R25" s="7"/>
      <c r="S25" s="36">
        <f>-(Q25*O4)</f>
        <v>-204.21516</v>
      </c>
      <c r="T25" s="36">
        <f>-(Q25*P4)</f>
        <v>-280.07202000000001</v>
      </c>
    </row>
    <row r="26" spans="1:20" ht="15" hidden="1" customHeight="1" x14ac:dyDescent="0.25">
      <c r="A26" s="5">
        <v>45261</v>
      </c>
      <c r="B26" s="6">
        <v>2784.8</v>
      </c>
      <c r="C26" s="6">
        <v>301.60000000000002</v>
      </c>
      <c r="D26" s="21" t="s">
        <v>75</v>
      </c>
      <c r="E26" s="6" t="s">
        <v>21</v>
      </c>
      <c r="F26" s="17">
        <v>384</v>
      </c>
      <c r="G26" s="17">
        <v>458.82499999999999</v>
      </c>
      <c r="H26" s="17"/>
      <c r="I26" s="17">
        <f t="shared" si="3"/>
        <v>-74.824999999999989</v>
      </c>
      <c r="J26" s="6"/>
      <c r="K26" s="6">
        <v>0</v>
      </c>
      <c r="L26" s="6"/>
      <c r="M26" s="6"/>
      <c r="N26" s="17">
        <v>9.6509999999999998</v>
      </c>
      <c r="O26" s="11">
        <f>N26*O4</f>
        <v>204.21516</v>
      </c>
      <c r="P26" s="11">
        <f>N26*P4</f>
        <v>280.07202000000001</v>
      </c>
      <c r="Q26" s="50">
        <f t="shared" si="2"/>
        <v>9.6509999999999998</v>
      </c>
      <c r="R26" s="7"/>
      <c r="S26" s="36">
        <f>-(Q26*O4)</f>
        <v>-204.21516</v>
      </c>
      <c r="T26" s="36">
        <f>-(Q26*P4)</f>
        <v>-280.07202000000001</v>
      </c>
    </row>
    <row r="27" spans="1:20" ht="15" hidden="1" customHeight="1" x14ac:dyDescent="0.25">
      <c r="B27" s="1"/>
      <c r="C27" s="1"/>
      <c r="O27" s="39">
        <f>SUM(O15:O26)</f>
        <v>2450.5819200000001</v>
      </c>
      <c r="P27" s="39">
        <f>SUM(P15:P26)</f>
        <v>3360.8642400000003</v>
      </c>
      <c r="Q27" s="41"/>
      <c r="R27" s="41"/>
      <c r="S27" s="39">
        <f>SUM(S15:S26)</f>
        <v>-2450.5819200000001</v>
      </c>
      <c r="T27" s="39">
        <f>SUM(T15:T26)</f>
        <v>-3360.8642400000003</v>
      </c>
    </row>
    <row r="28" spans="1:20" ht="15" hidden="1" customHeight="1" x14ac:dyDescent="0.25">
      <c r="B28" s="1"/>
      <c r="C28" s="1"/>
      <c r="O28" s="41"/>
      <c r="P28" s="41"/>
      <c r="Q28" s="41"/>
      <c r="R28" s="41" t="s">
        <v>41</v>
      </c>
      <c r="T28" s="41"/>
    </row>
    <row r="29" spans="1:20" ht="15" hidden="1" customHeight="1" x14ac:dyDescent="0.25">
      <c r="B29" s="1"/>
      <c r="C29" s="1"/>
      <c r="O29" s="41"/>
      <c r="P29" s="41"/>
      <c r="Q29" s="41"/>
      <c r="R29" s="41"/>
      <c r="S29" s="41"/>
      <c r="T29" s="42">
        <f>S27+T27</f>
        <v>-5811.4461600000004</v>
      </c>
    </row>
    <row r="30" spans="1:20" ht="15" hidden="1" customHeight="1" x14ac:dyDescent="0.25"/>
    <row r="31" spans="1:20" ht="15" hidden="1" customHeight="1" x14ac:dyDescent="0.25"/>
    <row r="32" spans="1:20" ht="15" hidden="1" customHeight="1" x14ac:dyDescent="0.25"/>
    <row r="33" spans="1:20" ht="15" hidden="1" customHeight="1" x14ac:dyDescent="0.25">
      <c r="A33" s="5">
        <v>45292</v>
      </c>
      <c r="B33" s="6">
        <v>2784.8</v>
      </c>
      <c r="C33" s="6">
        <v>301.60000000000002</v>
      </c>
      <c r="D33" s="21" t="s">
        <v>27</v>
      </c>
      <c r="E33" s="6" t="s">
        <v>21</v>
      </c>
      <c r="F33" s="17">
        <v>445</v>
      </c>
      <c r="G33" s="17">
        <v>469.15199999999999</v>
      </c>
      <c r="H33" s="17"/>
      <c r="I33" s="17">
        <f>F33-(G33+H33)</f>
        <v>-24.151999999999987</v>
      </c>
      <c r="J33" s="6"/>
      <c r="K33" s="6">
        <v>0</v>
      </c>
      <c r="L33" s="6"/>
      <c r="M33" s="6"/>
      <c r="N33" s="17">
        <v>9.6509999999999998</v>
      </c>
      <c r="O33" s="11">
        <f>N33*Q3</f>
        <v>204.21516</v>
      </c>
      <c r="P33" s="11">
        <f>N33*R3</f>
        <v>280.07202000000001</v>
      </c>
      <c r="Q33" s="50"/>
      <c r="R33" s="50"/>
      <c r="S33" s="36">
        <f>-(N33*Q3)</f>
        <v>-204.21516</v>
      </c>
      <c r="T33" s="36">
        <f>-(N33*R3)</f>
        <v>-280.07202000000001</v>
      </c>
    </row>
    <row r="34" spans="1:20" ht="15" hidden="1" customHeight="1" x14ac:dyDescent="0.25">
      <c r="A34" s="5">
        <v>45323</v>
      </c>
      <c r="B34" s="6">
        <v>2784.8</v>
      </c>
      <c r="C34" s="6">
        <v>301.60000000000002</v>
      </c>
      <c r="D34" s="21" t="s">
        <v>54</v>
      </c>
      <c r="E34" s="6" t="s">
        <v>21</v>
      </c>
      <c r="F34" s="17">
        <v>383</v>
      </c>
      <c r="G34" s="17">
        <v>466.4</v>
      </c>
      <c r="H34" s="17"/>
      <c r="I34" s="17">
        <f t="shared" ref="I34" si="4">F34-(G34+H34)</f>
        <v>-83.399999999999977</v>
      </c>
      <c r="J34" s="6"/>
      <c r="K34" s="6">
        <v>0</v>
      </c>
      <c r="L34" s="6"/>
      <c r="M34" s="6"/>
      <c r="N34" s="17">
        <v>9.6509999999999998</v>
      </c>
      <c r="O34" s="11">
        <f>N34*Q3</f>
        <v>204.21516</v>
      </c>
      <c r="P34" s="11">
        <f>N34*R3</f>
        <v>280.07202000000001</v>
      </c>
      <c r="Q34" s="50"/>
      <c r="R34" s="22"/>
      <c r="S34" s="36">
        <f>-(N34*Q3)</f>
        <v>-204.21516</v>
      </c>
      <c r="T34" s="36">
        <f>-(N34*R3)</f>
        <v>-280.07202000000001</v>
      </c>
    </row>
    <row r="35" spans="1:20" ht="15" hidden="1" customHeight="1" x14ac:dyDescent="0.25">
      <c r="A35" s="5">
        <v>45352</v>
      </c>
      <c r="B35" s="6">
        <v>2784.8</v>
      </c>
      <c r="C35" s="6">
        <v>301.60000000000002</v>
      </c>
      <c r="D35" s="21" t="s">
        <v>55</v>
      </c>
      <c r="E35" s="6" t="s">
        <v>21</v>
      </c>
      <c r="F35" s="17">
        <v>403</v>
      </c>
      <c r="G35" s="17">
        <v>455.3</v>
      </c>
      <c r="H35" s="17"/>
      <c r="I35" s="17">
        <f t="shared" ref="I35:I44" si="5">F35-(G35+H35)</f>
        <v>-52.300000000000011</v>
      </c>
      <c r="J35" s="6"/>
      <c r="K35" s="6">
        <v>0</v>
      </c>
      <c r="L35" s="6"/>
      <c r="M35" s="6"/>
      <c r="N35" s="17">
        <v>9.6509999999999998</v>
      </c>
      <c r="O35" s="11">
        <f>N35*Q3</f>
        <v>204.21516</v>
      </c>
      <c r="P35" s="11">
        <f>N35*R3</f>
        <v>280.07202000000001</v>
      </c>
      <c r="Q35" s="50"/>
      <c r="R35" s="7"/>
      <c r="S35" s="36">
        <f>-(N35*Q3)</f>
        <v>-204.21516</v>
      </c>
      <c r="T35" s="36">
        <f>-(N35*R3)</f>
        <v>-280.07202000000001</v>
      </c>
    </row>
    <row r="36" spans="1:20" ht="15" hidden="1" customHeight="1" x14ac:dyDescent="0.25">
      <c r="A36" s="5">
        <v>45383</v>
      </c>
      <c r="B36" s="6">
        <v>2784.8</v>
      </c>
      <c r="C36" s="6">
        <v>301.60000000000002</v>
      </c>
      <c r="D36" s="21" t="s">
        <v>56</v>
      </c>
      <c r="E36" s="6" t="s">
        <v>21</v>
      </c>
      <c r="F36" s="17">
        <v>405</v>
      </c>
      <c r="G36" s="17">
        <v>488.875</v>
      </c>
      <c r="H36" s="17"/>
      <c r="I36" s="17">
        <f t="shared" si="5"/>
        <v>-83.875</v>
      </c>
      <c r="J36" s="6"/>
      <c r="K36" s="6">
        <v>0</v>
      </c>
      <c r="L36" s="6"/>
      <c r="M36" s="6"/>
      <c r="N36" s="17">
        <v>9.6509999999999998</v>
      </c>
      <c r="O36" s="11">
        <f>N36*Q3</f>
        <v>204.21516</v>
      </c>
      <c r="P36" s="11">
        <f>N36*R3</f>
        <v>280.07202000000001</v>
      </c>
      <c r="Q36" s="50"/>
      <c r="R36" s="7"/>
      <c r="S36" s="36">
        <f>-(N36*Q3)</f>
        <v>-204.21516</v>
      </c>
      <c r="T36" s="36">
        <f>-(N36*R3)</f>
        <v>-280.07202000000001</v>
      </c>
    </row>
    <row r="37" spans="1:20" ht="15" hidden="1" customHeight="1" x14ac:dyDescent="0.25">
      <c r="A37" s="5">
        <v>45413</v>
      </c>
      <c r="B37" s="6">
        <v>2784.8</v>
      </c>
      <c r="C37" s="6">
        <v>301.60000000000002</v>
      </c>
      <c r="D37" s="21" t="s">
        <v>57</v>
      </c>
      <c r="E37" s="6" t="s">
        <v>21</v>
      </c>
      <c r="F37" s="17">
        <v>346</v>
      </c>
      <c r="G37" s="17">
        <v>482.61099999999999</v>
      </c>
      <c r="H37" s="17"/>
      <c r="I37" s="17">
        <f t="shared" si="5"/>
        <v>-136.61099999999999</v>
      </c>
      <c r="J37" s="6"/>
      <c r="K37" s="6">
        <v>0</v>
      </c>
      <c r="L37" s="6"/>
      <c r="M37" s="6"/>
      <c r="N37" s="17">
        <v>9.6509999999999998</v>
      </c>
      <c r="O37" s="11">
        <f>N37*Q3</f>
        <v>204.21516</v>
      </c>
      <c r="P37" s="11">
        <f>N37*R3</f>
        <v>280.07202000000001</v>
      </c>
      <c r="Q37" s="50"/>
      <c r="R37" s="7"/>
      <c r="S37" s="36">
        <f>-(N37*Q3)</f>
        <v>-204.21516</v>
      </c>
      <c r="T37" s="36">
        <f>-(N37*R3)</f>
        <v>-280.07202000000001</v>
      </c>
    </row>
    <row r="38" spans="1:20" ht="15" hidden="1" customHeight="1" x14ac:dyDescent="0.25">
      <c r="A38" s="5">
        <v>45444</v>
      </c>
      <c r="B38" s="6">
        <v>2784.8</v>
      </c>
      <c r="C38" s="6">
        <v>301.60000000000002</v>
      </c>
      <c r="D38" s="21" t="s">
        <v>58</v>
      </c>
      <c r="E38" s="6" t="s">
        <v>21</v>
      </c>
      <c r="F38" s="17">
        <v>364</v>
      </c>
      <c r="G38" s="17">
        <v>443.96</v>
      </c>
      <c r="H38" s="17"/>
      <c r="I38" s="17">
        <f t="shared" si="5"/>
        <v>-79.95999999999998</v>
      </c>
      <c r="J38" s="6"/>
      <c r="K38" s="6">
        <v>0</v>
      </c>
      <c r="L38" s="6"/>
      <c r="M38" s="6"/>
      <c r="N38" s="17">
        <v>9.6509999999999998</v>
      </c>
      <c r="O38" s="11">
        <f>N38*Q3</f>
        <v>204.21516</v>
      </c>
      <c r="P38" s="11">
        <f>N38*R3</f>
        <v>280.07202000000001</v>
      </c>
      <c r="Q38" s="50"/>
      <c r="R38" s="7"/>
      <c r="S38" s="36">
        <f>-(N38*Q3)</f>
        <v>-204.21516</v>
      </c>
      <c r="T38" s="36">
        <f>-(N38*R3)</f>
        <v>-280.07202000000001</v>
      </c>
    </row>
    <row r="39" spans="1:20" ht="15" hidden="1" customHeight="1" x14ac:dyDescent="0.25">
      <c r="A39" s="5">
        <v>45474</v>
      </c>
      <c r="B39" s="6">
        <v>2784.8</v>
      </c>
      <c r="C39" s="6">
        <v>301.60000000000002</v>
      </c>
      <c r="D39" s="21" t="s">
        <v>59</v>
      </c>
      <c r="E39" s="6" t="s">
        <v>21</v>
      </c>
      <c r="F39" s="17">
        <v>388</v>
      </c>
      <c r="G39" s="17">
        <v>460.82</v>
      </c>
      <c r="H39" s="17"/>
      <c r="I39" s="17">
        <f t="shared" si="5"/>
        <v>-72.819999999999993</v>
      </c>
      <c r="J39" s="6"/>
      <c r="K39" s="6">
        <v>0</v>
      </c>
      <c r="L39" s="6"/>
      <c r="M39" s="6"/>
      <c r="N39" s="17">
        <v>9.6509999999999998</v>
      </c>
      <c r="O39" s="11">
        <f>N39*Q4</f>
        <v>226.41246000000001</v>
      </c>
      <c r="P39" s="11">
        <f>N39*R4</f>
        <v>299.27751000000001</v>
      </c>
      <c r="Q39" s="50"/>
      <c r="R39" s="7"/>
      <c r="S39" s="36">
        <f>-(N39*Q4)</f>
        <v>-226.41246000000001</v>
      </c>
      <c r="T39" s="36">
        <f>-(N39*R4)</f>
        <v>-299.27751000000001</v>
      </c>
    </row>
    <row r="40" spans="1:20" ht="15" hidden="1" customHeight="1" x14ac:dyDescent="0.25">
      <c r="A40" s="5">
        <v>45505</v>
      </c>
      <c r="B40" s="6">
        <v>2784.8</v>
      </c>
      <c r="C40" s="6">
        <v>301.60000000000002</v>
      </c>
      <c r="D40" s="21" t="s">
        <v>60</v>
      </c>
      <c r="E40" s="6" t="s">
        <v>21</v>
      </c>
      <c r="F40" s="17">
        <v>385</v>
      </c>
      <c r="G40" s="17">
        <v>438.43</v>
      </c>
      <c r="H40" s="17"/>
      <c r="I40" s="17">
        <f t="shared" si="5"/>
        <v>-53.430000000000007</v>
      </c>
      <c r="J40" s="6"/>
      <c r="K40" s="6">
        <v>0</v>
      </c>
      <c r="L40" s="6"/>
      <c r="M40" s="6"/>
      <c r="N40" s="17">
        <v>9.6509999999999998</v>
      </c>
      <c r="O40" s="11">
        <f>N40*Q4</f>
        <v>226.41246000000001</v>
      </c>
      <c r="P40" s="11">
        <f>N40*R4</f>
        <v>299.27751000000001</v>
      </c>
      <c r="Q40" s="50"/>
      <c r="R40" s="7"/>
      <c r="S40" s="36">
        <f>-(N40*Q4)</f>
        <v>-226.41246000000001</v>
      </c>
      <c r="T40" s="36">
        <f>-(N40*R4)</f>
        <v>-299.27751000000001</v>
      </c>
    </row>
    <row r="41" spans="1:20" ht="15" hidden="1" customHeight="1" x14ac:dyDescent="0.25">
      <c r="A41" s="5">
        <v>45536</v>
      </c>
      <c r="B41" s="6">
        <v>2784.8</v>
      </c>
      <c r="C41" s="6">
        <v>301.60000000000002</v>
      </c>
      <c r="D41" s="21" t="s">
        <v>61</v>
      </c>
      <c r="E41" s="6" t="s">
        <v>21</v>
      </c>
      <c r="F41" s="17">
        <v>377</v>
      </c>
      <c r="G41" s="17">
        <v>441.87599999999998</v>
      </c>
      <c r="H41" s="17"/>
      <c r="I41" s="17">
        <f t="shared" si="5"/>
        <v>-64.875999999999976</v>
      </c>
      <c r="J41" s="6"/>
      <c r="K41" s="6">
        <v>0</v>
      </c>
      <c r="L41" s="6"/>
      <c r="M41" s="6"/>
      <c r="N41" s="17">
        <v>9.6509999999999998</v>
      </c>
      <c r="O41" s="11">
        <f>N41*Q4</f>
        <v>226.41246000000001</v>
      </c>
      <c r="P41" s="11">
        <f>N41*R4</f>
        <v>299.27751000000001</v>
      </c>
      <c r="Q41" s="50"/>
      <c r="R41" s="7"/>
      <c r="S41" s="36">
        <f>-(N41*Q4)</f>
        <v>-226.41246000000001</v>
      </c>
      <c r="T41" s="36">
        <f>-(N41*R4)</f>
        <v>-299.27751000000001</v>
      </c>
    </row>
    <row r="42" spans="1:20" ht="15" hidden="1" customHeight="1" x14ac:dyDescent="0.25">
      <c r="A42" s="5">
        <v>45566</v>
      </c>
      <c r="B42" s="6">
        <v>2784.8</v>
      </c>
      <c r="C42" s="6">
        <v>301.60000000000002</v>
      </c>
      <c r="D42" s="21" t="s">
        <v>62</v>
      </c>
      <c r="E42" s="6" t="s">
        <v>21</v>
      </c>
      <c r="F42" s="17">
        <v>377</v>
      </c>
      <c r="G42" s="17">
        <v>423.86900000000003</v>
      </c>
      <c r="H42" s="17"/>
      <c r="I42" s="17">
        <f t="shared" si="5"/>
        <v>-46.869000000000028</v>
      </c>
      <c r="J42" s="6"/>
      <c r="K42" s="6">
        <v>0</v>
      </c>
      <c r="L42" s="6"/>
      <c r="M42" s="6"/>
      <c r="N42" s="17">
        <v>9.6509999999999998</v>
      </c>
      <c r="O42" s="11">
        <f>N42*Q4</f>
        <v>226.41246000000001</v>
      </c>
      <c r="P42" s="11">
        <f>N42*R4</f>
        <v>299.27751000000001</v>
      </c>
      <c r="Q42" s="50"/>
      <c r="R42" s="7"/>
      <c r="S42" s="36">
        <f>-(N42*Q4)</f>
        <v>-226.41246000000001</v>
      </c>
      <c r="T42" s="36">
        <f>-(N42*R4)</f>
        <v>-299.27751000000001</v>
      </c>
    </row>
    <row r="43" spans="1:20" ht="15" hidden="1" customHeight="1" x14ac:dyDescent="0.25">
      <c r="A43" s="5">
        <v>45597</v>
      </c>
      <c r="B43" s="6">
        <v>2784.8</v>
      </c>
      <c r="C43" s="6">
        <v>301.60000000000002</v>
      </c>
      <c r="D43" s="21" t="s">
        <v>63</v>
      </c>
      <c r="E43" s="6" t="s">
        <v>21</v>
      </c>
      <c r="F43" s="17">
        <v>386</v>
      </c>
      <c r="G43" s="17">
        <v>460.58</v>
      </c>
      <c r="H43" s="17"/>
      <c r="I43" s="17">
        <f t="shared" si="5"/>
        <v>-74.579999999999984</v>
      </c>
      <c r="J43" s="6"/>
      <c r="K43" s="6">
        <v>0</v>
      </c>
      <c r="L43" s="6"/>
      <c r="M43" s="6"/>
      <c r="N43" s="17">
        <v>9.6509999999999998</v>
      </c>
      <c r="O43" s="11">
        <f>N43*Q4</f>
        <v>226.41246000000001</v>
      </c>
      <c r="P43" s="11">
        <f>N43*R4</f>
        <v>299.27751000000001</v>
      </c>
      <c r="Q43" s="50"/>
      <c r="R43" s="7"/>
      <c r="S43" s="36">
        <f>-(N43*Q4)</f>
        <v>-226.41246000000001</v>
      </c>
      <c r="T43" s="36">
        <f>-(N43*R4)</f>
        <v>-299.27751000000001</v>
      </c>
    </row>
    <row r="44" spans="1:20" ht="15" hidden="1" customHeight="1" x14ac:dyDescent="0.25">
      <c r="A44" s="5">
        <v>45627</v>
      </c>
      <c r="B44" s="6">
        <v>2784.8</v>
      </c>
      <c r="C44" s="6">
        <v>301.60000000000002</v>
      </c>
      <c r="D44" s="21" t="s">
        <v>64</v>
      </c>
      <c r="E44" s="6" t="s">
        <v>21</v>
      </c>
      <c r="F44" s="17">
        <v>371</v>
      </c>
      <c r="G44" s="17">
        <v>442.58</v>
      </c>
      <c r="H44" s="17"/>
      <c r="I44" s="17">
        <f t="shared" si="5"/>
        <v>-71.579999999999984</v>
      </c>
      <c r="J44" s="6"/>
      <c r="K44" s="6">
        <v>0</v>
      </c>
      <c r="L44" s="6"/>
      <c r="M44" s="6"/>
      <c r="N44" s="17">
        <v>9.6509999999999998</v>
      </c>
      <c r="O44" s="11">
        <f>N44*Q4</f>
        <v>226.41246000000001</v>
      </c>
      <c r="P44" s="11">
        <f>N44*R4</f>
        <v>299.27751000000001</v>
      </c>
      <c r="Q44" s="50"/>
      <c r="R44" s="7"/>
      <c r="S44" s="36">
        <f>-(N44*Q4)</f>
        <v>-226.41246000000001</v>
      </c>
      <c r="T44" s="36">
        <f>-(N44*R4)</f>
        <v>-299.27751000000001</v>
      </c>
    </row>
    <row r="45" spans="1:20" ht="15" hidden="1" customHeight="1" x14ac:dyDescent="0.25">
      <c r="B45" s="1"/>
      <c r="C45" s="1"/>
      <c r="N45" s="60">
        <f>SUM(N33:N44)</f>
        <v>115.81199999999997</v>
      </c>
      <c r="O45" s="39">
        <f>SUM(O33:O44)</f>
        <v>2583.7657200000003</v>
      </c>
      <c r="P45" s="39">
        <f>SUM(P33:P44)</f>
        <v>3476.0971799999998</v>
      </c>
      <c r="Q45" s="47"/>
      <c r="R45" s="41"/>
      <c r="S45" s="39">
        <f>SUM(S33:S44)</f>
        <v>-2583.7657200000003</v>
      </c>
      <c r="T45" s="39">
        <f>SUM(T33:T44)</f>
        <v>-3476.0971799999998</v>
      </c>
    </row>
    <row r="46" spans="1:20" ht="15" hidden="1" customHeight="1" x14ac:dyDescent="0.25">
      <c r="B46" s="1"/>
      <c r="C46" s="1"/>
      <c r="N46" s="60">
        <f>SUM(N33:N38)</f>
        <v>57.905999999999992</v>
      </c>
      <c r="O46" s="41"/>
      <c r="P46" s="41"/>
      <c r="Q46" s="41"/>
      <c r="R46" s="41" t="s">
        <v>41</v>
      </c>
      <c r="T46" s="41"/>
    </row>
    <row r="47" spans="1:20" ht="15" hidden="1" customHeight="1" x14ac:dyDescent="0.25">
      <c r="B47" s="1"/>
      <c r="C47" s="1"/>
      <c r="N47" s="60">
        <f>SUM(N39:N44)</f>
        <v>57.905999999999992</v>
      </c>
      <c r="O47" s="41"/>
      <c r="P47" s="41"/>
      <c r="Q47" s="41"/>
      <c r="R47" s="41"/>
      <c r="S47" s="41"/>
      <c r="T47" s="42">
        <f>S45+T45</f>
        <v>-6059.8629000000001</v>
      </c>
    </row>
    <row r="48" spans="1:20" ht="15" hidden="1" customHeight="1" x14ac:dyDescent="0.25"/>
    <row r="49" spans="1:20" ht="15" hidden="1" customHeight="1" x14ac:dyDescent="0.25"/>
    <row r="50" spans="1:20" ht="17.25" customHeight="1" x14ac:dyDescent="0.25">
      <c r="A50" s="27"/>
      <c r="B50" s="27"/>
      <c r="C50" s="27"/>
      <c r="D50" s="27"/>
      <c r="E50" s="27"/>
      <c r="F50" s="27"/>
      <c r="G50" s="27"/>
      <c r="H50" s="28"/>
      <c r="I50" s="28"/>
      <c r="J50" s="28"/>
      <c r="K50" s="28"/>
      <c r="L50" s="28"/>
      <c r="M50" s="28"/>
      <c r="N50" s="28"/>
      <c r="O50" s="29" t="s">
        <v>21</v>
      </c>
      <c r="P50" s="29" t="s">
        <v>33</v>
      </c>
      <c r="Q50" s="28"/>
      <c r="R50" s="29" t="s">
        <v>21</v>
      </c>
      <c r="S50" s="29" t="s">
        <v>33</v>
      </c>
      <c r="T50" s="61"/>
    </row>
    <row r="51" spans="1:20" ht="16.5" customHeight="1" x14ac:dyDescent="0.25">
      <c r="A51" s="68" t="s">
        <v>12</v>
      </c>
      <c r="B51" s="68"/>
      <c r="C51" s="68"/>
      <c r="D51" s="68"/>
      <c r="H51" s="69" t="s">
        <v>78</v>
      </c>
      <c r="I51" s="69"/>
      <c r="J51" s="69"/>
      <c r="K51" s="69"/>
      <c r="L51" s="69"/>
      <c r="M51" s="69"/>
      <c r="N51" s="30" t="s">
        <v>76</v>
      </c>
      <c r="O51" s="31">
        <v>23.46</v>
      </c>
      <c r="P51" s="30">
        <v>31.01</v>
      </c>
      <c r="Q51" s="30" t="s">
        <v>77</v>
      </c>
      <c r="R51" s="31">
        <v>26.71</v>
      </c>
      <c r="S51" s="30">
        <v>34.78</v>
      </c>
      <c r="T51" s="61"/>
    </row>
    <row r="52" spans="1:20" ht="83.25" customHeight="1" x14ac:dyDescent="0.25">
      <c r="A52" s="64" t="s">
        <v>3</v>
      </c>
      <c r="B52" s="64" t="s">
        <v>2</v>
      </c>
      <c r="C52" s="70" t="s">
        <v>10</v>
      </c>
      <c r="D52" s="64" t="s">
        <v>11</v>
      </c>
      <c r="E52" s="64" t="s">
        <v>0</v>
      </c>
      <c r="F52" s="67" t="s">
        <v>79</v>
      </c>
      <c r="G52" s="67" t="s">
        <v>80</v>
      </c>
      <c r="H52" s="67" t="s">
        <v>81</v>
      </c>
      <c r="I52" s="67" t="s">
        <v>9</v>
      </c>
      <c r="J52" s="67" t="s">
        <v>22</v>
      </c>
      <c r="K52" s="67"/>
      <c r="L52" s="67" t="s">
        <v>24</v>
      </c>
      <c r="M52" s="67" t="s">
        <v>25</v>
      </c>
      <c r="N52" s="65" t="s">
        <v>44</v>
      </c>
      <c r="O52" s="67" t="s">
        <v>26</v>
      </c>
      <c r="P52" s="67" t="s">
        <v>43</v>
      </c>
      <c r="Q52" s="67" t="s">
        <v>4</v>
      </c>
      <c r="R52" s="67"/>
      <c r="S52" s="64" t="s">
        <v>53</v>
      </c>
      <c r="T52" s="64" t="s">
        <v>52</v>
      </c>
    </row>
    <row r="53" spans="1:20" ht="92.25" customHeight="1" x14ac:dyDescent="0.25">
      <c r="A53" s="64"/>
      <c r="B53" s="64"/>
      <c r="C53" s="71"/>
      <c r="D53" s="64"/>
      <c r="E53" s="64"/>
      <c r="F53" s="67"/>
      <c r="G53" s="67"/>
      <c r="H53" s="67"/>
      <c r="I53" s="67"/>
      <c r="J53" s="63" t="s">
        <v>1</v>
      </c>
      <c r="K53" s="63" t="s">
        <v>23</v>
      </c>
      <c r="L53" s="67"/>
      <c r="M53" s="67"/>
      <c r="N53" s="66"/>
      <c r="O53" s="67"/>
      <c r="P53" s="66"/>
      <c r="Q53" s="63" t="s">
        <v>38</v>
      </c>
      <c r="R53" s="63" t="s">
        <v>82</v>
      </c>
      <c r="S53" s="64"/>
      <c r="T53" s="64"/>
    </row>
    <row r="54" spans="1:20" x14ac:dyDescent="0.25">
      <c r="A54" s="4">
        <v>1</v>
      </c>
      <c r="B54" s="4">
        <v>2</v>
      </c>
      <c r="C54" s="4">
        <v>3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  <c r="I54" s="4">
        <v>9</v>
      </c>
      <c r="J54" s="4">
        <v>10</v>
      </c>
      <c r="K54" s="4">
        <v>11</v>
      </c>
      <c r="L54" s="4">
        <v>12</v>
      </c>
      <c r="M54" s="4">
        <v>13</v>
      </c>
      <c r="N54" s="4">
        <v>14</v>
      </c>
      <c r="O54" s="4">
        <v>15</v>
      </c>
      <c r="P54" s="4">
        <v>16</v>
      </c>
      <c r="Q54" s="4">
        <v>17</v>
      </c>
      <c r="R54" s="4">
        <v>18</v>
      </c>
      <c r="S54" s="4">
        <v>19</v>
      </c>
      <c r="T54" s="4">
        <v>20</v>
      </c>
    </row>
    <row r="55" spans="1:20" x14ac:dyDescent="0.25">
      <c r="A55" s="5">
        <v>45658</v>
      </c>
      <c r="B55" s="6">
        <v>2784.8</v>
      </c>
      <c r="C55" s="6">
        <v>301.60000000000002</v>
      </c>
      <c r="D55" s="21" t="s">
        <v>64</v>
      </c>
      <c r="E55" s="6" t="s">
        <v>21</v>
      </c>
      <c r="F55" s="55">
        <v>398</v>
      </c>
      <c r="G55" s="55">
        <v>492.49</v>
      </c>
      <c r="H55" s="17">
        <v>0</v>
      </c>
      <c r="I55" s="17">
        <f>F55-(G55+H55)</f>
        <v>-94.490000000000009</v>
      </c>
      <c r="J55" s="6"/>
      <c r="K55" s="6">
        <v>0</v>
      </c>
      <c r="L55" s="6"/>
      <c r="M55" s="6"/>
      <c r="N55" s="17">
        <f>C55*0.033</f>
        <v>9.9528000000000016</v>
      </c>
      <c r="O55" s="11">
        <f>N55*O51</f>
        <v>233.49268800000004</v>
      </c>
      <c r="P55" s="11">
        <f>N55*P51*2</f>
        <v>617.2726560000001</v>
      </c>
      <c r="Q55" s="50"/>
      <c r="R55" s="50"/>
      <c r="S55" s="36">
        <f>-(N55*O51)</f>
        <v>-233.49268800000004</v>
      </c>
      <c r="T55" s="36">
        <f>-(N55*P51)*2</f>
        <v>-617.2726560000001</v>
      </c>
    </row>
    <row r="56" spans="1:20" x14ac:dyDescent="0.25">
      <c r="A56" s="5">
        <v>45689</v>
      </c>
      <c r="B56" s="6">
        <v>2784.8</v>
      </c>
      <c r="C56" s="6">
        <v>301.60000000000002</v>
      </c>
      <c r="D56" s="21" t="s">
        <v>64</v>
      </c>
      <c r="E56" s="6" t="s">
        <v>21</v>
      </c>
      <c r="F56" s="55">
        <v>454</v>
      </c>
      <c r="G56" s="55">
        <v>439.22800000000001</v>
      </c>
      <c r="H56" s="17">
        <v>0</v>
      </c>
      <c r="I56" s="17">
        <f t="shared" ref="I56:I66" si="6">F56-(G56+H56)</f>
        <v>14.771999999999991</v>
      </c>
      <c r="J56" s="6"/>
      <c r="K56" s="6">
        <v>0</v>
      </c>
      <c r="L56" s="6"/>
      <c r="M56" s="6"/>
      <c r="N56" s="17">
        <f t="shared" ref="N56:N66" si="7">C56*0.033</f>
        <v>9.9528000000000016</v>
      </c>
      <c r="O56" s="11">
        <f>N56*O51</f>
        <v>233.49268800000004</v>
      </c>
      <c r="P56" s="11">
        <f>N56*P51*2</f>
        <v>617.2726560000001</v>
      </c>
      <c r="Q56" s="50"/>
      <c r="R56" s="22"/>
      <c r="S56" s="36">
        <f>-(N56*O51)</f>
        <v>-233.49268800000004</v>
      </c>
      <c r="T56" s="36">
        <f>-(N56*P51)*2</f>
        <v>-617.2726560000001</v>
      </c>
    </row>
    <row r="57" spans="1:20" x14ac:dyDescent="0.25">
      <c r="A57" s="5">
        <v>45717</v>
      </c>
      <c r="B57" s="6">
        <v>2784.8</v>
      </c>
      <c r="C57" s="6">
        <v>301.60000000000002</v>
      </c>
      <c r="D57" s="21" t="s">
        <v>64</v>
      </c>
      <c r="E57" s="6" t="s">
        <v>21</v>
      </c>
      <c r="F57" s="55">
        <v>445</v>
      </c>
      <c r="G57" s="55">
        <v>430.64499999999998</v>
      </c>
      <c r="H57" s="17">
        <v>0</v>
      </c>
      <c r="I57" s="17">
        <f t="shared" si="6"/>
        <v>14.355000000000018</v>
      </c>
      <c r="J57" s="6"/>
      <c r="K57" s="6">
        <v>0</v>
      </c>
      <c r="L57" s="6"/>
      <c r="M57" s="6"/>
      <c r="N57" s="17">
        <f t="shared" si="7"/>
        <v>9.9528000000000016</v>
      </c>
      <c r="O57" s="11">
        <f>N57*O51</f>
        <v>233.49268800000004</v>
      </c>
      <c r="P57" s="11">
        <f>N57*P51*2</f>
        <v>617.2726560000001</v>
      </c>
      <c r="Q57" s="50"/>
      <c r="R57" s="7"/>
      <c r="S57" s="36">
        <f>-(N57*O51)</f>
        <v>-233.49268800000004</v>
      </c>
      <c r="T57" s="36">
        <f>-(N57*P51)*2</f>
        <v>-617.2726560000001</v>
      </c>
    </row>
    <row r="58" spans="1:20" x14ac:dyDescent="0.25">
      <c r="A58" s="5">
        <v>45748</v>
      </c>
      <c r="B58" s="6">
        <v>2784.8</v>
      </c>
      <c r="C58" s="6">
        <v>301.60000000000002</v>
      </c>
      <c r="D58" s="21" t="s">
        <v>64</v>
      </c>
      <c r="E58" s="6" t="s">
        <v>21</v>
      </c>
      <c r="F58" s="55">
        <v>388</v>
      </c>
      <c r="G58" s="55">
        <v>426.54599999999999</v>
      </c>
      <c r="H58" s="17">
        <v>0</v>
      </c>
      <c r="I58" s="17">
        <f t="shared" si="6"/>
        <v>-38.545999999999992</v>
      </c>
      <c r="J58" s="6"/>
      <c r="K58" s="6">
        <v>0</v>
      </c>
      <c r="L58" s="6"/>
      <c r="M58" s="6"/>
      <c r="N58" s="17">
        <f t="shared" si="7"/>
        <v>9.9528000000000016</v>
      </c>
      <c r="O58" s="11">
        <f>N58*O51</f>
        <v>233.49268800000004</v>
      </c>
      <c r="P58" s="11">
        <f>N58*P51*2</f>
        <v>617.2726560000001</v>
      </c>
      <c r="Q58" s="50"/>
      <c r="R58" s="7"/>
      <c r="S58" s="36">
        <f>-(N58*O51)</f>
        <v>-233.49268800000004</v>
      </c>
      <c r="T58" s="36">
        <f>-(N58*P51)*2</f>
        <v>-617.2726560000001</v>
      </c>
    </row>
    <row r="59" spans="1:20" x14ac:dyDescent="0.25">
      <c r="A59" s="5">
        <v>45778</v>
      </c>
      <c r="B59" s="6">
        <v>2784.8</v>
      </c>
      <c r="C59" s="6">
        <v>301.60000000000002</v>
      </c>
      <c r="D59" s="21" t="s">
        <v>64</v>
      </c>
      <c r="E59" s="6" t="s">
        <v>21</v>
      </c>
      <c r="F59" s="55">
        <v>318</v>
      </c>
      <c r="G59" s="55">
        <v>439.4</v>
      </c>
      <c r="H59" s="17">
        <v>0</v>
      </c>
      <c r="I59" s="17">
        <f t="shared" si="6"/>
        <v>-121.39999999999998</v>
      </c>
      <c r="J59" s="6"/>
      <c r="K59" s="6">
        <v>0</v>
      </c>
      <c r="L59" s="6"/>
      <c r="M59" s="6"/>
      <c r="N59" s="17">
        <f t="shared" si="7"/>
        <v>9.9528000000000016</v>
      </c>
      <c r="O59" s="11">
        <f>N59*O51</f>
        <v>233.49268800000004</v>
      </c>
      <c r="P59" s="11">
        <f>N59*P51*2</f>
        <v>617.2726560000001</v>
      </c>
      <c r="Q59" s="50"/>
      <c r="R59" s="7"/>
      <c r="S59" s="36">
        <f>-(N59*O51)</f>
        <v>-233.49268800000004</v>
      </c>
      <c r="T59" s="36">
        <f>-(N59*P51)*2</f>
        <v>-617.2726560000001</v>
      </c>
    </row>
    <row r="60" spans="1:20" x14ac:dyDescent="0.25">
      <c r="A60" s="5">
        <v>45809</v>
      </c>
      <c r="B60" s="6">
        <v>2784.8</v>
      </c>
      <c r="C60" s="6">
        <v>301.60000000000002</v>
      </c>
      <c r="D60" s="21" t="s">
        <v>64</v>
      </c>
      <c r="E60" s="6" t="s">
        <v>21</v>
      </c>
      <c r="F60" s="55">
        <v>312</v>
      </c>
      <c r="G60" s="55">
        <v>396.60599999999999</v>
      </c>
      <c r="H60" s="17">
        <v>0</v>
      </c>
      <c r="I60" s="17">
        <f t="shared" si="6"/>
        <v>-84.605999999999995</v>
      </c>
      <c r="J60" s="6"/>
      <c r="K60" s="6">
        <v>0</v>
      </c>
      <c r="L60" s="6"/>
      <c r="M60" s="6"/>
      <c r="N60" s="17">
        <f t="shared" si="7"/>
        <v>9.9528000000000016</v>
      </c>
      <c r="O60" s="11">
        <f>N60*O51</f>
        <v>233.49268800000004</v>
      </c>
      <c r="P60" s="11">
        <f>N60*P51*2</f>
        <v>617.2726560000001</v>
      </c>
      <c r="Q60" s="50"/>
      <c r="R60" s="7"/>
      <c r="S60" s="36">
        <f>-(N60*O51)</f>
        <v>-233.49268800000004</v>
      </c>
      <c r="T60" s="36">
        <f>-(N60*P51)*2</f>
        <v>-617.2726560000001</v>
      </c>
    </row>
    <row r="61" spans="1:20" x14ac:dyDescent="0.25">
      <c r="A61" s="5">
        <v>45839</v>
      </c>
      <c r="B61" s="6">
        <v>2784.8</v>
      </c>
      <c r="C61" s="6">
        <v>301.60000000000002</v>
      </c>
      <c r="D61" s="21" t="s">
        <v>64</v>
      </c>
      <c r="E61" s="6" t="s">
        <v>21</v>
      </c>
      <c r="F61" s="55">
        <v>306</v>
      </c>
      <c r="G61" s="55">
        <v>404.4</v>
      </c>
      <c r="H61" s="17">
        <v>0</v>
      </c>
      <c r="I61" s="17">
        <f t="shared" si="6"/>
        <v>-98.399999999999977</v>
      </c>
      <c r="J61" s="6"/>
      <c r="K61" s="6">
        <v>0</v>
      </c>
      <c r="L61" s="6"/>
      <c r="M61" s="6"/>
      <c r="N61" s="17">
        <f t="shared" si="7"/>
        <v>9.9528000000000016</v>
      </c>
      <c r="O61" s="11">
        <f>N61*R51</f>
        <v>265.83928800000007</v>
      </c>
      <c r="P61" s="11">
        <f>N61*S51*2</f>
        <v>692.31676800000014</v>
      </c>
      <c r="Q61" s="50"/>
      <c r="R61" s="7"/>
      <c r="S61" s="36">
        <f>-(N61*R51)</f>
        <v>-265.83928800000007</v>
      </c>
      <c r="T61" s="36">
        <f>-(N61*S51)*2</f>
        <v>-692.31676800000014</v>
      </c>
    </row>
    <row r="62" spans="1:20" x14ac:dyDescent="0.25">
      <c r="A62" s="5">
        <v>45870</v>
      </c>
      <c r="B62" s="6">
        <v>2784.8</v>
      </c>
      <c r="C62" s="6">
        <v>301.60000000000002</v>
      </c>
      <c r="D62" s="21" t="s">
        <v>64</v>
      </c>
      <c r="E62" s="6" t="s">
        <v>21</v>
      </c>
      <c r="F62" s="55">
        <v>373</v>
      </c>
      <c r="G62" s="55">
        <v>396.44400000000002</v>
      </c>
      <c r="H62" s="17">
        <v>0</v>
      </c>
      <c r="I62" s="17">
        <f t="shared" si="6"/>
        <v>-23.444000000000017</v>
      </c>
      <c r="J62" s="6"/>
      <c r="K62" s="6">
        <v>0</v>
      </c>
      <c r="L62" s="6"/>
      <c r="M62" s="6"/>
      <c r="N62" s="17">
        <f t="shared" si="7"/>
        <v>9.9528000000000016</v>
      </c>
      <c r="O62" s="11">
        <f>N62*R51</f>
        <v>265.83928800000007</v>
      </c>
      <c r="P62" s="11">
        <f>N62*S51*2</f>
        <v>692.31676800000014</v>
      </c>
      <c r="Q62" s="50"/>
      <c r="R62" s="7"/>
      <c r="S62" s="36">
        <f>-(N62*R51)</f>
        <v>-265.83928800000007</v>
      </c>
      <c r="T62" s="36">
        <f>-(N62*S51)*2</f>
        <v>-692.31676800000014</v>
      </c>
    </row>
    <row r="63" spans="1:20" x14ac:dyDescent="0.25">
      <c r="A63" s="5">
        <v>45901</v>
      </c>
      <c r="B63" s="6">
        <v>2784.8</v>
      </c>
      <c r="C63" s="6">
        <v>301.60000000000002</v>
      </c>
      <c r="D63" s="21" t="s">
        <v>64</v>
      </c>
      <c r="E63" s="6" t="s">
        <v>21</v>
      </c>
      <c r="F63" s="55">
        <v>372</v>
      </c>
      <c r="G63" s="55">
        <v>421.25</v>
      </c>
      <c r="H63" s="17">
        <v>0</v>
      </c>
      <c r="I63" s="17">
        <f t="shared" si="6"/>
        <v>-49.25</v>
      </c>
      <c r="J63" s="6"/>
      <c r="K63" s="6">
        <v>0</v>
      </c>
      <c r="L63" s="6"/>
      <c r="M63" s="6"/>
      <c r="N63" s="17">
        <f t="shared" si="7"/>
        <v>9.9528000000000016</v>
      </c>
      <c r="O63" s="11">
        <f>N63*R51</f>
        <v>265.83928800000007</v>
      </c>
      <c r="P63" s="11">
        <f>N63*S51*2</f>
        <v>692.31676800000014</v>
      </c>
      <c r="Q63" s="50"/>
      <c r="R63" s="7"/>
      <c r="S63" s="36">
        <f>-(N63*R51)</f>
        <v>-265.83928800000007</v>
      </c>
      <c r="T63" s="36">
        <f>-(N63*S51)*2</f>
        <v>-692.31676800000014</v>
      </c>
    </row>
    <row r="64" spans="1:20" x14ac:dyDescent="0.25">
      <c r="A64" s="5">
        <v>45931</v>
      </c>
      <c r="B64" s="6">
        <v>2784.8</v>
      </c>
      <c r="C64" s="6">
        <v>301.60000000000002</v>
      </c>
      <c r="D64" s="21" t="s">
        <v>64</v>
      </c>
      <c r="E64" s="6" t="s">
        <v>21</v>
      </c>
      <c r="F64" s="55">
        <v>353</v>
      </c>
      <c r="G64" s="55">
        <v>419.73099999999999</v>
      </c>
      <c r="H64" s="17">
        <v>0</v>
      </c>
      <c r="I64" s="17">
        <f t="shared" si="6"/>
        <v>-66.730999999999995</v>
      </c>
      <c r="J64" s="6"/>
      <c r="K64" s="6">
        <v>0</v>
      </c>
      <c r="L64" s="6"/>
      <c r="M64" s="6"/>
      <c r="N64" s="17">
        <f t="shared" si="7"/>
        <v>9.9528000000000016</v>
      </c>
      <c r="O64" s="11">
        <f>N64*R51</f>
        <v>265.83928800000007</v>
      </c>
      <c r="P64" s="11">
        <f>N64*S51*2</f>
        <v>692.31676800000014</v>
      </c>
      <c r="Q64" s="50"/>
      <c r="R64" s="7"/>
      <c r="S64" s="36">
        <f>-(N64*R51)</f>
        <v>-265.83928800000007</v>
      </c>
      <c r="T64" s="36">
        <f>-(N64*S51)*2</f>
        <v>-692.31676800000014</v>
      </c>
    </row>
    <row r="65" spans="1:20" x14ac:dyDescent="0.25">
      <c r="A65" s="5">
        <v>45962</v>
      </c>
      <c r="B65" s="6">
        <v>2784.8</v>
      </c>
      <c r="C65" s="6">
        <v>301.60000000000002</v>
      </c>
      <c r="D65" s="21" t="s">
        <v>64</v>
      </c>
      <c r="E65" s="6" t="s">
        <v>21</v>
      </c>
      <c r="F65" s="55">
        <v>437</v>
      </c>
      <c r="G65" s="55">
        <v>413.76600000000002</v>
      </c>
      <c r="H65" s="17">
        <v>0</v>
      </c>
      <c r="I65" s="17">
        <f t="shared" si="6"/>
        <v>23.23399999999998</v>
      </c>
      <c r="J65" s="6"/>
      <c r="K65" s="6">
        <v>0</v>
      </c>
      <c r="L65" s="6"/>
      <c r="M65" s="6"/>
      <c r="N65" s="17">
        <f t="shared" si="7"/>
        <v>9.9528000000000016</v>
      </c>
      <c r="O65" s="11">
        <f>N65*R51</f>
        <v>265.83928800000007</v>
      </c>
      <c r="P65" s="11">
        <f>N65*S51*2</f>
        <v>692.31676800000014</v>
      </c>
      <c r="Q65" s="50"/>
      <c r="R65" s="7"/>
      <c r="S65" s="36">
        <f>-(N65*R51)</f>
        <v>-265.83928800000007</v>
      </c>
      <c r="T65" s="36">
        <f>-(N65*S51)*2</f>
        <v>-692.31676800000014</v>
      </c>
    </row>
    <row r="66" spans="1:20" x14ac:dyDescent="0.25">
      <c r="A66" s="5">
        <v>45992</v>
      </c>
      <c r="B66" s="6">
        <v>2784.8</v>
      </c>
      <c r="C66" s="6">
        <v>301.60000000000002</v>
      </c>
      <c r="D66" s="21" t="s">
        <v>64</v>
      </c>
      <c r="E66" s="6" t="s">
        <v>21</v>
      </c>
      <c r="F66" s="55">
        <v>357</v>
      </c>
      <c r="G66" s="55">
        <v>439.32400000000001</v>
      </c>
      <c r="H66" s="17">
        <v>0</v>
      </c>
      <c r="I66" s="17">
        <f t="shared" si="6"/>
        <v>-82.324000000000012</v>
      </c>
      <c r="J66" s="6"/>
      <c r="K66" s="6">
        <v>0</v>
      </c>
      <c r="L66" s="6"/>
      <c r="M66" s="6"/>
      <c r="N66" s="17">
        <f t="shared" si="7"/>
        <v>9.9528000000000016</v>
      </c>
      <c r="O66" s="11">
        <f>N66*R51</f>
        <v>265.83928800000007</v>
      </c>
      <c r="P66" s="11">
        <f>N66*S51*2</f>
        <v>692.31676800000014</v>
      </c>
      <c r="Q66" s="50"/>
      <c r="R66" s="7"/>
      <c r="S66" s="36">
        <f>-(N66*R51)</f>
        <v>-265.83928800000007</v>
      </c>
      <c r="T66" s="36">
        <f>-(N66*S51)*2</f>
        <v>-692.31676800000014</v>
      </c>
    </row>
    <row r="67" spans="1:20" x14ac:dyDescent="0.25">
      <c r="A67" s="62"/>
      <c r="B67" s="1"/>
      <c r="C67" s="1"/>
      <c r="N67" s="60">
        <f>SUM(N55:N66)</f>
        <v>119.4336</v>
      </c>
      <c r="O67" s="39">
        <f>SUM(O55:O66)</f>
        <v>2995.991856000001</v>
      </c>
      <c r="P67" s="39">
        <f>SUM(P55:P66)</f>
        <v>7857.5365440000041</v>
      </c>
      <c r="Q67" s="41"/>
      <c r="R67" s="41"/>
      <c r="S67" s="39">
        <f>SUM(S55:S66)</f>
        <v>-2995.991856000001</v>
      </c>
      <c r="T67" s="39">
        <f>SUM(T55:T66)</f>
        <v>-7857.5365440000041</v>
      </c>
    </row>
    <row r="68" spans="1:20" x14ac:dyDescent="0.25">
      <c r="A68" s="62"/>
      <c r="B68" s="1"/>
      <c r="C68" s="1"/>
      <c r="O68" s="41"/>
      <c r="P68" s="41"/>
      <c r="Q68" s="41"/>
      <c r="R68" s="41" t="s">
        <v>41</v>
      </c>
      <c r="T68" s="41"/>
    </row>
    <row r="69" spans="1:20" x14ac:dyDescent="0.25">
      <c r="A69" s="62"/>
      <c r="B69" s="1"/>
      <c r="C69" s="1"/>
      <c r="O69" s="41"/>
      <c r="P69" s="41"/>
      <c r="Q69" s="41"/>
      <c r="R69" s="41"/>
      <c r="S69" s="41"/>
      <c r="T69" s="42">
        <f>S67+T67</f>
        <v>-10853.528400000005</v>
      </c>
    </row>
  </sheetData>
  <sheetProtection algorithmName="SHA-512" hashValue="u+5lY/lcydMPhpD9ttWGw3fy/mHp9bCL6v9o0zT97A0vEU/NXgGN3cwGSyqlvqsnmfaIDAZw9MvvL5T/IMlpjQ==" saltValue="4exFGMJokuva+5dlWLZznQ==" spinCount="100000" sheet="1" objects="1" scenarios="1" selectLockedCells="1" selectUnlockedCells="1"/>
  <mergeCells count="42">
    <mergeCell ref="A3:D3"/>
    <mergeCell ref="H3:M3"/>
    <mergeCell ref="H4:M4"/>
    <mergeCell ref="A1:Q1"/>
    <mergeCell ref="N5:N6"/>
    <mergeCell ref="O5:O6"/>
    <mergeCell ref="Q5:R5"/>
    <mergeCell ref="G5:G6"/>
    <mergeCell ref="H5:H6"/>
    <mergeCell ref="I5:I6"/>
    <mergeCell ref="J5:K5"/>
    <mergeCell ref="L5:L6"/>
    <mergeCell ref="M5:M6"/>
    <mergeCell ref="A5:A6"/>
    <mergeCell ref="B5:B6"/>
    <mergeCell ref="A51:D51"/>
    <mergeCell ref="H51:M51"/>
    <mergeCell ref="A52:A53"/>
    <mergeCell ref="B52:B53"/>
    <mergeCell ref="C52:C53"/>
    <mergeCell ref="D52:D53"/>
    <mergeCell ref="E52:E53"/>
    <mergeCell ref="F52:F53"/>
    <mergeCell ref="T5:T6"/>
    <mergeCell ref="C5:C6"/>
    <mergeCell ref="D5:D6"/>
    <mergeCell ref="E5:E6"/>
    <mergeCell ref="F5:F6"/>
    <mergeCell ref="S5:S6"/>
    <mergeCell ref="P5:P6"/>
    <mergeCell ref="G52:G53"/>
    <mergeCell ref="H52:H53"/>
    <mergeCell ref="I52:I53"/>
    <mergeCell ref="J52:K52"/>
    <mergeCell ref="L52:L53"/>
    <mergeCell ref="T52:T53"/>
    <mergeCell ref="M52:M53"/>
    <mergeCell ref="O52:O53"/>
    <mergeCell ref="P52:P53"/>
    <mergeCell ref="Q52:R52"/>
    <mergeCell ref="S52:S53"/>
    <mergeCell ref="N52:N53"/>
  </mergeCells>
  <pageMargins left="0.25" right="0.25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2"/>
  <sheetViews>
    <sheetView topLeftCell="A80" zoomScale="70" zoomScaleNormal="70" workbookViewId="0">
      <selection activeCell="O79" sqref="O79"/>
    </sheetView>
  </sheetViews>
  <sheetFormatPr defaultRowHeight="15" x14ac:dyDescent="0.25"/>
  <cols>
    <col min="1" max="1" width="13.85546875" style="2" customWidth="1"/>
    <col min="2" max="3" width="21" customWidth="1"/>
    <col min="4" max="4" width="21.7109375" customWidth="1"/>
    <col min="5" max="5" width="18" customWidth="1"/>
    <col min="6" max="6" width="24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9.7109375" customWidth="1"/>
    <col min="15" max="15" width="17" customWidth="1"/>
    <col min="16" max="16" width="20.7109375" customWidth="1"/>
    <col min="17" max="17" width="19.140625" customWidth="1"/>
    <col min="18" max="18" width="16.85546875" customWidth="1"/>
    <col min="19" max="20" width="16.4257812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20" hidden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0" hidden="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29" t="s">
        <v>21</v>
      </c>
      <c r="R2" s="29" t="s">
        <v>33</v>
      </c>
    </row>
    <row r="3" spans="1:20" ht="18.75" hidden="1" x14ac:dyDescent="0.25">
      <c r="A3" s="68" t="s">
        <v>14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  <c r="Q3" s="31">
        <v>21.16</v>
      </c>
      <c r="R3" s="30">
        <v>29.02</v>
      </c>
    </row>
    <row r="4" spans="1:20" hidden="1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  <c r="Q4" s="30">
        <v>23.46</v>
      </c>
      <c r="R4" s="30">
        <v>31.01</v>
      </c>
    </row>
    <row r="5" spans="1:20" ht="99" hidden="1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hidden="1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0" hidden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hidden="1" x14ac:dyDescent="0.25">
      <c r="A8" s="5">
        <v>44805</v>
      </c>
      <c r="B8" s="79">
        <v>11231.77</v>
      </c>
      <c r="C8" s="79">
        <v>1264.5999999999999</v>
      </c>
      <c r="D8" s="20" t="s">
        <v>29</v>
      </c>
      <c r="E8" s="79" t="s">
        <v>21</v>
      </c>
      <c r="F8" s="81">
        <v>2059</v>
      </c>
      <c r="G8" s="81">
        <v>2047.117</v>
      </c>
      <c r="H8" s="81"/>
      <c r="I8" s="81">
        <f>F8-G8</f>
        <v>11.883000000000038</v>
      </c>
      <c r="J8" s="97" t="s">
        <v>45</v>
      </c>
      <c r="K8" s="98"/>
      <c r="L8" s="79"/>
      <c r="M8" s="79"/>
      <c r="N8" s="81">
        <v>40.673000000000002</v>
      </c>
      <c r="O8" s="85">
        <f>N8*O3</f>
        <v>717.47172</v>
      </c>
      <c r="P8" s="85">
        <f>N8*P3</f>
        <v>1095.3238900000001</v>
      </c>
      <c r="Q8" s="81">
        <f>N8</f>
        <v>40.673000000000002</v>
      </c>
      <c r="R8" s="79"/>
      <c r="S8" s="95">
        <f>-(Q8*O3)</f>
        <v>-717.47172</v>
      </c>
      <c r="T8" s="95">
        <f>-(Q8*P3)</f>
        <v>-1095.3238900000001</v>
      </c>
    </row>
    <row r="9" spans="1:20" hidden="1" x14ac:dyDescent="0.25">
      <c r="A9" s="5">
        <v>44805</v>
      </c>
      <c r="B9" s="80"/>
      <c r="C9" s="80"/>
      <c r="D9" s="20" t="s">
        <v>30</v>
      </c>
      <c r="E9" s="80"/>
      <c r="F9" s="82"/>
      <c r="G9" s="82"/>
      <c r="H9" s="82"/>
      <c r="I9" s="82"/>
      <c r="J9" s="99"/>
      <c r="K9" s="100"/>
      <c r="L9" s="80"/>
      <c r="M9" s="80"/>
      <c r="N9" s="82"/>
      <c r="O9" s="86"/>
      <c r="P9" s="86"/>
      <c r="Q9" s="82"/>
      <c r="R9" s="80"/>
      <c r="S9" s="96"/>
      <c r="T9" s="96"/>
    </row>
    <row r="10" spans="1:20" hidden="1" x14ac:dyDescent="0.25">
      <c r="A10" s="5">
        <v>44835</v>
      </c>
      <c r="B10" s="79">
        <v>11231.77</v>
      </c>
      <c r="C10" s="79">
        <v>1264.5999999999999</v>
      </c>
      <c r="D10" s="20" t="s">
        <v>29</v>
      </c>
      <c r="E10" s="79" t="s">
        <v>21</v>
      </c>
      <c r="F10" s="81">
        <v>1809</v>
      </c>
      <c r="G10" s="81">
        <v>2047.7619999999999</v>
      </c>
      <c r="H10" s="81"/>
      <c r="I10" s="81">
        <f t="shared" ref="I10" si="0">F10-G10</f>
        <v>-238.76199999999994</v>
      </c>
      <c r="J10" s="79"/>
      <c r="K10" s="79">
        <v>0</v>
      </c>
      <c r="L10" s="101"/>
      <c r="M10" s="101"/>
      <c r="N10" s="81">
        <v>40.673000000000002</v>
      </c>
      <c r="O10" s="85">
        <f>N10*O3</f>
        <v>717.47172</v>
      </c>
      <c r="P10" s="85">
        <f>N10*P3</f>
        <v>1095.3238900000001</v>
      </c>
      <c r="Q10" s="81">
        <f>N10</f>
        <v>40.673000000000002</v>
      </c>
      <c r="R10" s="79"/>
      <c r="S10" s="95">
        <f>-(Q10*O3)</f>
        <v>-717.47172</v>
      </c>
      <c r="T10" s="95">
        <f>-(Q10*P3)</f>
        <v>-1095.3238900000001</v>
      </c>
    </row>
    <row r="11" spans="1:20" hidden="1" x14ac:dyDescent="0.25">
      <c r="A11" s="5">
        <v>44835</v>
      </c>
      <c r="B11" s="80"/>
      <c r="C11" s="80"/>
      <c r="D11" s="20" t="s">
        <v>30</v>
      </c>
      <c r="E11" s="80"/>
      <c r="F11" s="82"/>
      <c r="G11" s="82"/>
      <c r="H11" s="82"/>
      <c r="I11" s="82"/>
      <c r="J11" s="80"/>
      <c r="K11" s="80"/>
      <c r="L11" s="102"/>
      <c r="M11" s="102"/>
      <c r="N11" s="82"/>
      <c r="O11" s="86"/>
      <c r="P11" s="86"/>
      <c r="Q11" s="82"/>
      <c r="R11" s="80"/>
      <c r="S11" s="96"/>
      <c r="T11" s="96"/>
    </row>
    <row r="12" spans="1:20" hidden="1" x14ac:dyDescent="0.25">
      <c r="A12" s="5">
        <v>44866</v>
      </c>
      <c r="B12" s="79">
        <v>11231.77</v>
      </c>
      <c r="C12" s="79">
        <v>1264.5999999999999</v>
      </c>
      <c r="D12" s="20" t="s">
        <v>29</v>
      </c>
      <c r="E12" s="79" t="s">
        <v>21</v>
      </c>
      <c r="F12" s="81">
        <v>1752</v>
      </c>
      <c r="G12" s="81">
        <v>1963.11</v>
      </c>
      <c r="H12" s="81"/>
      <c r="I12" s="81">
        <f t="shared" ref="I12" si="1">F12-G12</f>
        <v>-211.1099999999999</v>
      </c>
      <c r="J12" s="79"/>
      <c r="K12" s="79">
        <v>0</v>
      </c>
      <c r="L12" s="79"/>
      <c r="M12" s="79"/>
      <c r="N12" s="81">
        <v>40.673000000000002</v>
      </c>
      <c r="O12" s="85">
        <f>N12*O3</f>
        <v>717.47172</v>
      </c>
      <c r="P12" s="85">
        <f>N12*P3</f>
        <v>1095.3238900000001</v>
      </c>
      <c r="Q12" s="81">
        <f t="shared" ref="Q12" si="2">N12</f>
        <v>40.673000000000002</v>
      </c>
      <c r="R12" s="79"/>
      <c r="S12" s="95">
        <f>-(Q12*O3)</f>
        <v>-717.47172</v>
      </c>
      <c r="T12" s="95">
        <f>-(Q12*P3)</f>
        <v>-1095.3238900000001</v>
      </c>
    </row>
    <row r="13" spans="1:20" hidden="1" x14ac:dyDescent="0.25">
      <c r="A13" s="5">
        <v>44866</v>
      </c>
      <c r="B13" s="80"/>
      <c r="C13" s="80"/>
      <c r="D13" s="20" t="s">
        <v>30</v>
      </c>
      <c r="E13" s="80"/>
      <c r="F13" s="82"/>
      <c r="G13" s="82"/>
      <c r="H13" s="82"/>
      <c r="I13" s="82"/>
      <c r="J13" s="80"/>
      <c r="K13" s="80"/>
      <c r="L13" s="80"/>
      <c r="M13" s="80"/>
      <c r="N13" s="82"/>
      <c r="O13" s="86"/>
      <c r="P13" s="86"/>
      <c r="Q13" s="82"/>
      <c r="R13" s="80"/>
      <c r="S13" s="96"/>
      <c r="T13" s="96"/>
    </row>
    <row r="14" spans="1:20" hidden="1" x14ac:dyDescent="0.25">
      <c r="A14" s="5">
        <v>44896</v>
      </c>
      <c r="B14" s="79">
        <v>11231.77</v>
      </c>
      <c r="C14" s="79">
        <v>1264.5999999999999</v>
      </c>
      <c r="D14" s="20" t="s">
        <v>29</v>
      </c>
      <c r="E14" s="79" t="s">
        <v>21</v>
      </c>
      <c r="F14" s="81">
        <v>1678</v>
      </c>
      <c r="G14" s="81">
        <v>1960.932</v>
      </c>
      <c r="H14" s="81"/>
      <c r="I14" s="81">
        <f t="shared" ref="I14" si="3">F14-G14</f>
        <v>-282.93200000000002</v>
      </c>
      <c r="J14" s="79"/>
      <c r="K14" s="79">
        <v>0</v>
      </c>
      <c r="L14" s="79"/>
      <c r="M14" s="79"/>
      <c r="N14" s="81">
        <v>40.673000000000002</v>
      </c>
      <c r="O14" s="85">
        <f>N14*O4</f>
        <v>860.64068000000009</v>
      </c>
      <c r="P14" s="85">
        <f>N14*P4</f>
        <v>1180.3304600000001</v>
      </c>
      <c r="Q14" s="81">
        <f t="shared" ref="Q14" si="4">N14</f>
        <v>40.673000000000002</v>
      </c>
      <c r="R14" s="79"/>
      <c r="S14" s="95">
        <f>-(Q14*O4)</f>
        <v>-860.64068000000009</v>
      </c>
      <c r="T14" s="95">
        <f>-(Q14*P4)</f>
        <v>-1180.3304600000001</v>
      </c>
    </row>
    <row r="15" spans="1:20" hidden="1" x14ac:dyDescent="0.25">
      <c r="A15" s="5">
        <v>44896</v>
      </c>
      <c r="B15" s="80"/>
      <c r="C15" s="80"/>
      <c r="D15" s="20" t="s">
        <v>30</v>
      </c>
      <c r="E15" s="80"/>
      <c r="F15" s="82"/>
      <c r="G15" s="82"/>
      <c r="H15" s="82"/>
      <c r="I15" s="82"/>
      <c r="J15" s="80"/>
      <c r="K15" s="80"/>
      <c r="L15" s="80"/>
      <c r="M15" s="80"/>
      <c r="N15" s="82"/>
      <c r="O15" s="86"/>
      <c r="P15" s="86"/>
      <c r="Q15" s="82"/>
      <c r="R15" s="80"/>
      <c r="S15" s="96"/>
      <c r="T15" s="96"/>
    </row>
    <row r="16" spans="1:20" hidden="1" x14ac:dyDescent="0.25">
      <c r="B16" s="1"/>
      <c r="C16" s="1"/>
      <c r="N16" s="38" t="s">
        <v>46</v>
      </c>
      <c r="O16" s="39">
        <f>SUM(O8:O14)</f>
        <v>3013.05584</v>
      </c>
      <c r="P16" s="40">
        <f>SUM(P8:P14)</f>
        <v>4466.30213</v>
      </c>
      <c r="Q16" s="41"/>
      <c r="R16" s="41"/>
      <c r="S16" s="42">
        <f>SUM(S8:S15)</f>
        <v>-3013.05584</v>
      </c>
      <c r="T16" s="42">
        <f>SUM(T8:T15)</f>
        <v>-4466.30213</v>
      </c>
    </row>
    <row r="17" spans="1:20" hidden="1" x14ac:dyDescent="0.25">
      <c r="B17" s="1"/>
      <c r="C17" s="1"/>
      <c r="N17" s="41"/>
      <c r="O17" s="41"/>
      <c r="P17" s="41"/>
      <c r="Q17" s="41"/>
      <c r="R17" s="41" t="s">
        <v>41</v>
      </c>
      <c r="T17" s="41"/>
    </row>
    <row r="18" spans="1:20" hidden="1" x14ac:dyDescent="0.25">
      <c r="B18" s="1"/>
      <c r="C18" s="1"/>
      <c r="N18" s="41"/>
      <c r="O18" s="41"/>
      <c r="P18" s="41"/>
      <c r="Q18" s="41"/>
      <c r="R18" s="41"/>
      <c r="S18" s="41"/>
      <c r="T18" s="42">
        <f>T16+S16</f>
        <v>-7479.35797</v>
      </c>
    </row>
    <row r="19" spans="1:20" hidden="1" x14ac:dyDescent="0.25">
      <c r="A19" s="5">
        <v>44927</v>
      </c>
      <c r="B19" s="79">
        <v>11231.77</v>
      </c>
      <c r="C19" s="79">
        <v>1264.5999999999999</v>
      </c>
      <c r="D19" s="20" t="s">
        <v>29</v>
      </c>
      <c r="E19" s="79" t="s">
        <v>21</v>
      </c>
      <c r="F19" s="81">
        <f>1184+842</f>
        <v>2026</v>
      </c>
      <c r="G19" s="81">
        <v>2116.5070000000001</v>
      </c>
      <c r="H19" s="81"/>
      <c r="I19" s="81">
        <f t="shared" ref="I19" si="5">F19-G19</f>
        <v>-90.507000000000062</v>
      </c>
      <c r="J19" s="79"/>
      <c r="K19" s="79">
        <v>0</v>
      </c>
      <c r="L19" s="79"/>
      <c r="M19" s="79"/>
      <c r="N19" s="81">
        <v>40.673000000000002</v>
      </c>
      <c r="O19" s="85">
        <f>N19*O4</f>
        <v>860.64068000000009</v>
      </c>
      <c r="P19" s="85">
        <f>N19*P4</f>
        <v>1180.3304600000001</v>
      </c>
      <c r="Q19" s="81">
        <f>N19</f>
        <v>40.673000000000002</v>
      </c>
      <c r="R19" s="79"/>
      <c r="S19" s="95">
        <f>-(Q19*O4)</f>
        <v>-860.64068000000009</v>
      </c>
      <c r="T19" s="95">
        <f>-(Q19*P4)</f>
        <v>-1180.3304600000001</v>
      </c>
    </row>
    <row r="20" spans="1:20" hidden="1" x14ac:dyDescent="0.25">
      <c r="A20" s="5">
        <v>44927</v>
      </c>
      <c r="B20" s="80"/>
      <c r="C20" s="80"/>
      <c r="D20" s="20" t="s">
        <v>30</v>
      </c>
      <c r="E20" s="80"/>
      <c r="F20" s="82"/>
      <c r="G20" s="82"/>
      <c r="H20" s="82"/>
      <c r="I20" s="82"/>
      <c r="J20" s="80"/>
      <c r="K20" s="80"/>
      <c r="L20" s="80"/>
      <c r="M20" s="80"/>
      <c r="N20" s="82"/>
      <c r="O20" s="86"/>
      <c r="P20" s="86"/>
      <c r="Q20" s="82"/>
      <c r="R20" s="80"/>
      <c r="S20" s="96"/>
      <c r="T20" s="96"/>
    </row>
    <row r="21" spans="1:20" hidden="1" x14ac:dyDescent="0.25">
      <c r="A21" s="5">
        <v>44958</v>
      </c>
      <c r="B21" s="79">
        <v>11231.77</v>
      </c>
      <c r="C21" s="79">
        <v>1264.5999999999999</v>
      </c>
      <c r="D21" s="20" t="s">
        <v>29</v>
      </c>
      <c r="E21" s="79" t="s">
        <v>21</v>
      </c>
      <c r="F21" s="81">
        <f>984+699</f>
        <v>1683</v>
      </c>
      <c r="G21" s="81">
        <v>2237.8440000000001</v>
      </c>
      <c r="H21" s="81"/>
      <c r="I21" s="81">
        <f t="shared" ref="I21" si="6">F21-G21</f>
        <v>-554.84400000000005</v>
      </c>
      <c r="J21" s="79"/>
      <c r="K21" s="79">
        <v>0</v>
      </c>
      <c r="L21" s="79"/>
      <c r="M21" s="79"/>
      <c r="N21" s="81">
        <v>40.673000000000002</v>
      </c>
      <c r="O21" s="85">
        <f>N21*O4</f>
        <v>860.64068000000009</v>
      </c>
      <c r="P21" s="85">
        <f>N21*P4</f>
        <v>1180.3304600000001</v>
      </c>
      <c r="Q21" s="81">
        <f t="shared" ref="Q21" si="7">N21</f>
        <v>40.673000000000002</v>
      </c>
      <c r="R21" s="79"/>
      <c r="S21" s="95">
        <f>-(Q21*O4)</f>
        <v>-860.64068000000009</v>
      </c>
      <c r="T21" s="95">
        <f>-(Q21*P4)</f>
        <v>-1180.3304600000001</v>
      </c>
    </row>
    <row r="22" spans="1:20" hidden="1" x14ac:dyDescent="0.25">
      <c r="A22" s="5">
        <v>44958</v>
      </c>
      <c r="B22" s="80"/>
      <c r="C22" s="80"/>
      <c r="D22" s="20" t="s">
        <v>30</v>
      </c>
      <c r="E22" s="80"/>
      <c r="F22" s="82"/>
      <c r="G22" s="82"/>
      <c r="H22" s="82"/>
      <c r="I22" s="82"/>
      <c r="J22" s="80"/>
      <c r="K22" s="80"/>
      <c r="L22" s="80"/>
      <c r="M22" s="80"/>
      <c r="N22" s="82"/>
      <c r="O22" s="86"/>
      <c r="P22" s="86"/>
      <c r="Q22" s="82"/>
      <c r="R22" s="80"/>
      <c r="S22" s="96"/>
      <c r="T22" s="96"/>
    </row>
    <row r="23" spans="1:20" hidden="1" x14ac:dyDescent="0.25">
      <c r="A23" s="5">
        <v>44986</v>
      </c>
      <c r="B23" s="79">
        <v>11231.77</v>
      </c>
      <c r="C23" s="79">
        <v>1264.5999999999999</v>
      </c>
      <c r="D23" s="20" t="s">
        <v>29</v>
      </c>
      <c r="E23" s="79" t="s">
        <v>21</v>
      </c>
      <c r="F23" s="81">
        <f>1030+772</f>
        <v>1802</v>
      </c>
      <c r="G23" s="81">
        <f>1600.242</f>
        <v>1600.242</v>
      </c>
      <c r="H23" s="81"/>
      <c r="I23" s="81">
        <f>F23-G23</f>
        <v>201.75800000000004</v>
      </c>
      <c r="J23" s="79"/>
      <c r="K23" s="79">
        <v>0</v>
      </c>
      <c r="L23" s="79"/>
      <c r="M23" s="79"/>
      <c r="N23" s="81">
        <v>40.673000000000002</v>
      </c>
      <c r="O23" s="85">
        <f>N23*O4</f>
        <v>860.64068000000009</v>
      </c>
      <c r="P23" s="85">
        <f>N23*P4</f>
        <v>1180.3304600000001</v>
      </c>
      <c r="Q23" s="81">
        <f t="shared" ref="Q23" si="8">N23</f>
        <v>40.673000000000002</v>
      </c>
      <c r="R23" s="79"/>
      <c r="S23" s="95">
        <f>-(Q23*O4)</f>
        <v>-860.64068000000009</v>
      </c>
      <c r="T23" s="95">
        <f>-(Q23*P4)</f>
        <v>-1180.3304600000001</v>
      </c>
    </row>
    <row r="24" spans="1:20" hidden="1" x14ac:dyDescent="0.25">
      <c r="A24" s="5">
        <v>44986</v>
      </c>
      <c r="B24" s="80"/>
      <c r="C24" s="80"/>
      <c r="D24" s="20" t="s">
        <v>30</v>
      </c>
      <c r="E24" s="80"/>
      <c r="F24" s="82"/>
      <c r="G24" s="82"/>
      <c r="H24" s="82"/>
      <c r="I24" s="82"/>
      <c r="J24" s="80"/>
      <c r="K24" s="80"/>
      <c r="L24" s="80"/>
      <c r="M24" s="80"/>
      <c r="N24" s="82"/>
      <c r="O24" s="86"/>
      <c r="P24" s="86"/>
      <c r="Q24" s="82"/>
      <c r="R24" s="80"/>
      <c r="S24" s="96"/>
      <c r="T24" s="96"/>
    </row>
    <row r="25" spans="1:20" hidden="1" x14ac:dyDescent="0.25">
      <c r="A25" s="5">
        <v>45017</v>
      </c>
      <c r="B25" s="79">
        <v>11231.77</v>
      </c>
      <c r="C25" s="79">
        <v>1264.5999999999999</v>
      </c>
      <c r="D25" s="20" t="s">
        <v>29</v>
      </c>
      <c r="E25" s="79" t="s">
        <v>21</v>
      </c>
      <c r="F25" s="81">
        <f>1061+791</f>
        <v>1852</v>
      </c>
      <c r="G25" s="81">
        <v>2189.4180000000001</v>
      </c>
      <c r="H25" s="81"/>
      <c r="I25" s="81">
        <f t="shared" ref="I25" si="9">F25-G25</f>
        <v>-337.41800000000012</v>
      </c>
      <c r="J25" s="79"/>
      <c r="K25" s="79">
        <v>0</v>
      </c>
      <c r="L25" s="79"/>
      <c r="M25" s="79"/>
      <c r="N25" s="81">
        <v>40.673000000000002</v>
      </c>
      <c r="O25" s="85">
        <f>N25*O4</f>
        <v>860.64068000000009</v>
      </c>
      <c r="P25" s="85">
        <f>N25*P4</f>
        <v>1180.3304600000001</v>
      </c>
      <c r="Q25" s="81">
        <f t="shared" ref="Q25" si="10">N25</f>
        <v>40.673000000000002</v>
      </c>
      <c r="R25" s="79"/>
      <c r="S25" s="95">
        <f>-(Q25*O4)</f>
        <v>-860.64068000000009</v>
      </c>
      <c r="T25" s="95">
        <f>-(Q25*P4)</f>
        <v>-1180.3304600000001</v>
      </c>
    </row>
    <row r="26" spans="1:20" hidden="1" x14ac:dyDescent="0.25">
      <c r="A26" s="5">
        <v>45017</v>
      </c>
      <c r="B26" s="80"/>
      <c r="C26" s="80"/>
      <c r="D26" s="20" t="s">
        <v>30</v>
      </c>
      <c r="E26" s="80"/>
      <c r="F26" s="82"/>
      <c r="G26" s="82"/>
      <c r="H26" s="82"/>
      <c r="I26" s="82"/>
      <c r="J26" s="80"/>
      <c r="K26" s="80"/>
      <c r="L26" s="80"/>
      <c r="M26" s="80"/>
      <c r="N26" s="82"/>
      <c r="O26" s="86"/>
      <c r="P26" s="86"/>
      <c r="Q26" s="82"/>
      <c r="R26" s="80"/>
      <c r="S26" s="96"/>
      <c r="T26" s="96"/>
    </row>
    <row r="27" spans="1:20" hidden="1" x14ac:dyDescent="0.25">
      <c r="A27" s="5">
        <v>45047</v>
      </c>
      <c r="B27" s="79">
        <v>11231.77</v>
      </c>
      <c r="C27" s="79">
        <v>1264.5999999999999</v>
      </c>
      <c r="D27" s="20" t="s">
        <v>29</v>
      </c>
      <c r="E27" s="79" t="s">
        <v>21</v>
      </c>
      <c r="F27" s="81">
        <f>973+798</f>
        <v>1771</v>
      </c>
      <c r="G27" s="81">
        <v>2102.6990000000001</v>
      </c>
      <c r="H27" s="81"/>
      <c r="I27" s="81">
        <f t="shared" ref="I27" si="11">F27-G27</f>
        <v>-331.69900000000007</v>
      </c>
      <c r="J27" s="79"/>
      <c r="K27" s="79">
        <v>0</v>
      </c>
      <c r="L27" s="79"/>
      <c r="M27" s="79"/>
      <c r="N27" s="81">
        <v>40.673000000000002</v>
      </c>
      <c r="O27" s="85">
        <f>N27*O4</f>
        <v>860.64068000000009</v>
      </c>
      <c r="P27" s="85">
        <f>N27*P4</f>
        <v>1180.3304600000001</v>
      </c>
      <c r="Q27" s="81">
        <f t="shared" ref="Q27" si="12">N27</f>
        <v>40.673000000000002</v>
      </c>
      <c r="R27" s="79"/>
      <c r="S27" s="95">
        <f>-(Q27*O4)</f>
        <v>-860.64068000000009</v>
      </c>
      <c r="T27" s="95">
        <f>-(Q27*P4)</f>
        <v>-1180.3304600000001</v>
      </c>
    </row>
    <row r="28" spans="1:20" hidden="1" x14ac:dyDescent="0.25">
      <c r="A28" s="5">
        <v>45047</v>
      </c>
      <c r="B28" s="80"/>
      <c r="C28" s="80"/>
      <c r="D28" s="20" t="s">
        <v>30</v>
      </c>
      <c r="E28" s="80"/>
      <c r="F28" s="82"/>
      <c r="G28" s="82"/>
      <c r="H28" s="82"/>
      <c r="I28" s="82"/>
      <c r="J28" s="80"/>
      <c r="K28" s="80"/>
      <c r="L28" s="80"/>
      <c r="M28" s="80"/>
      <c r="N28" s="82"/>
      <c r="O28" s="86"/>
      <c r="P28" s="86"/>
      <c r="Q28" s="82"/>
      <c r="R28" s="80"/>
      <c r="S28" s="96"/>
      <c r="T28" s="96"/>
    </row>
    <row r="29" spans="1:20" hidden="1" x14ac:dyDescent="0.25">
      <c r="A29" s="5">
        <v>45078</v>
      </c>
      <c r="B29" s="79">
        <v>11231.77</v>
      </c>
      <c r="C29" s="79">
        <v>1264.5999999999999</v>
      </c>
      <c r="D29" s="20" t="s">
        <v>29</v>
      </c>
      <c r="E29" s="79" t="s">
        <v>21</v>
      </c>
      <c r="F29" s="81">
        <f>849+768</f>
        <v>1617</v>
      </c>
      <c r="G29" s="81">
        <v>2122.107</v>
      </c>
      <c r="H29" s="81"/>
      <c r="I29" s="81">
        <f t="shared" ref="I29" si="13">F29-G29</f>
        <v>-505.10699999999997</v>
      </c>
      <c r="J29" s="79"/>
      <c r="K29" s="79">
        <v>0</v>
      </c>
      <c r="L29" s="79"/>
      <c r="M29" s="79"/>
      <c r="N29" s="81">
        <v>40.673000000000002</v>
      </c>
      <c r="O29" s="85">
        <f>N29*O4</f>
        <v>860.64068000000009</v>
      </c>
      <c r="P29" s="85">
        <f>N29*P4</f>
        <v>1180.3304600000001</v>
      </c>
      <c r="Q29" s="81">
        <f t="shared" ref="Q29" si="14">N29</f>
        <v>40.673000000000002</v>
      </c>
      <c r="R29" s="79"/>
      <c r="S29" s="95">
        <f>-(Q29*O4)</f>
        <v>-860.64068000000009</v>
      </c>
      <c r="T29" s="95">
        <f>-(Q29*P4)</f>
        <v>-1180.3304600000001</v>
      </c>
    </row>
    <row r="30" spans="1:20" hidden="1" x14ac:dyDescent="0.25">
      <c r="A30" s="5">
        <v>45078</v>
      </c>
      <c r="B30" s="80"/>
      <c r="C30" s="80"/>
      <c r="D30" s="20" t="s">
        <v>30</v>
      </c>
      <c r="E30" s="80"/>
      <c r="F30" s="82"/>
      <c r="G30" s="82"/>
      <c r="H30" s="82"/>
      <c r="I30" s="82"/>
      <c r="J30" s="80"/>
      <c r="K30" s="80"/>
      <c r="L30" s="80"/>
      <c r="M30" s="80"/>
      <c r="N30" s="82"/>
      <c r="O30" s="86"/>
      <c r="P30" s="86"/>
      <c r="Q30" s="82"/>
      <c r="R30" s="80"/>
      <c r="S30" s="96"/>
      <c r="T30" s="96"/>
    </row>
    <row r="31" spans="1:20" hidden="1" x14ac:dyDescent="0.25">
      <c r="A31" s="5">
        <v>45108</v>
      </c>
      <c r="B31" s="79">
        <v>11231.77</v>
      </c>
      <c r="C31" s="79">
        <v>1264.5999999999999</v>
      </c>
      <c r="D31" s="20" t="s">
        <v>29</v>
      </c>
      <c r="E31" s="79" t="s">
        <v>21</v>
      </c>
      <c r="F31" s="81">
        <f>879+654</f>
        <v>1533</v>
      </c>
      <c r="G31" s="81">
        <v>2005.28</v>
      </c>
      <c r="H31" s="81"/>
      <c r="I31" s="81">
        <f t="shared" ref="I31" si="15">F31-G31</f>
        <v>-472.28</v>
      </c>
      <c r="J31" s="79"/>
      <c r="K31" s="79">
        <v>0</v>
      </c>
      <c r="L31" s="79"/>
      <c r="M31" s="79"/>
      <c r="N31" s="81">
        <v>40.673000000000002</v>
      </c>
      <c r="O31" s="85">
        <f>N31*O4</f>
        <v>860.64068000000009</v>
      </c>
      <c r="P31" s="85">
        <f>N31*P4</f>
        <v>1180.3304600000001</v>
      </c>
      <c r="Q31" s="81">
        <f t="shared" ref="Q31" si="16">N31</f>
        <v>40.673000000000002</v>
      </c>
      <c r="R31" s="79"/>
      <c r="S31" s="95">
        <f>-(Q31*O4)</f>
        <v>-860.64068000000009</v>
      </c>
      <c r="T31" s="95">
        <f>-(Q31*P4)</f>
        <v>-1180.3304600000001</v>
      </c>
    </row>
    <row r="32" spans="1:20" hidden="1" x14ac:dyDescent="0.25">
      <c r="A32" s="5">
        <v>45108</v>
      </c>
      <c r="B32" s="80"/>
      <c r="C32" s="80"/>
      <c r="D32" s="20" t="s">
        <v>30</v>
      </c>
      <c r="E32" s="80"/>
      <c r="F32" s="82"/>
      <c r="G32" s="82"/>
      <c r="H32" s="82"/>
      <c r="I32" s="82"/>
      <c r="J32" s="80"/>
      <c r="K32" s="80"/>
      <c r="L32" s="80"/>
      <c r="M32" s="80"/>
      <c r="N32" s="82"/>
      <c r="O32" s="86"/>
      <c r="P32" s="86"/>
      <c r="Q32" s="82"/>
      <c r="R32" s="80"/>
      <c r="S32" s="96"/>
      <c r="T32" s="96"/>
    </row>
    <row r="33" spans="1:20" hidden="1" x14ac:dyDescent="0.25">
      <c r="A33" s="5">
        <v>45139</v>
      </c>
      <c r="B33" s="79">
        <v>11231.77</v>
      </c>
      <c r="C33" s="79">
        <v>1264.5999999999999</v>
      </c>
      <c r="D33" s="20" t="s">
        <v>29</v>
      </c>
      <c r="E33" s="79" t="s">
        <v>21</v>
      </c>
      <c r="F33" s="81">
        <f>1098+850</f>
        <v>1948</v>
      </c>
      <c r="G33" s="81">
        <v>2000.34</v>
      </c>
      <c r="H33" s="81"/>
      <c r="I33" s="81">
        <f t="shared" ref="I33" si="17">F33-G33</f>
        <v>-52.339999999999918</v>
      </c>
      <c r="J33" s="79"/>
      <c r="K33" s="79">
        <v>0</v>
      </c>
      <c r="L33" s="79"/>
      <c r="M33" s="79"/>
      <c r="N33" s="81">
        <v>40.673000000000002</v>
      </c>
      <c r="O33" s="85">
        <f>N33*O4</f>
        <v>860.64068000000009</v>
      </c>
      <c r="P33" s="85">
        <f>N33*P4</f>
        <v>1180.3304600000001</v>
      </c>
      <c r="Q33" s="81">
        <f t="shared" ref="Q33" si="18">N33</f>
        <v>40.673000000000002</v>
      </c>
      <c r="R33" s="79"/>
      <c r="S33" s="95">
        <f>-(Q33*O4)</f>
        <v>-860.64068000000009</v>
      </c>
      <c r="T33" s="95">
        <f>-(Q33*P4)</f>
        <v>-1180.3304600000001</v>
      </c>
    </row>
    <row r="34" spans="1:20" hidden="1" x14ac:dyDescent="0.25">
      <c r="A34" s="5">
        <v>45139</v>
      </c>
      <c r="B34" s="80"/>
      <c r="C34" s="80"/>
      <c r="D34" s="20" t="s">
        <v>30</v>
      </c>
      <c r="E34" s="80"/>
      <c r="F34" s="82"/>
      <c r="G34" s="82"/>
      <c r="H34" s="82"/>
      <c r="I34" s="82"/>
      <c r="J34" s="80"/>
      <c r="K34" s="80"/>
      <c r="L34" s="80"/>
      <c r="M34" s="80"/>
      <c r="N34" s="82"/>
      <c r="O34" s="86"/>
      <c r="P34" s="86"/>
      <c r="Q34" s="82"/>
      <c r="R34" s="80"/>
      <c r="S34" s="96"/>
      <c r="T34" s="96"/>
    </row>
    <row r="35" spans="1:20" hidden="1" x14ac:dyDescent="0.25">
      <c r="A35" s="5">
        <v>45170</v>
      </c>
      <c r="B35" s="79">
        <v>11231.77</v>
      </c>
      <c r="C35" s="79">
        <v>1264.5999999999999</v>
      </c>
      <c r="D35" s="20" t="s">
        <v>29</v>
      </c>
      <c r="E35" s="79" t="s">
        <v>21</v>
      </c>
      <c r="F35" s="81">
        <f>1016+729</f>
        <v>1745</v>
      </c>
      <c r="G35" s="81">
        <v>1981.5340000000001</v>
      </c>
      <c r="H35" s="81"/>
      <c r="I35" s="81">
        <f t="shared" ref="I35" si="19">F35-G35</f>
        <v>-236.53400000000011</v>
      </c>
      <c r="J35" s="79"/>
      <c r="K35" s="79">
        <v>0</v>
      </c>
      <c r="L35" s="79"/>
      <c r="M35" s="79"/>
      <c r="N35" s="81">
        <v>40.673000000000002</v>
      </c>
      <c r="O35" s="85">
        <f>N35*O4</f>
        <v>860.64068000000009</v>
      </c>
      <c r="P35" s="85">
        <f>N35*P4</f>
        <v>1180.3304600000001</v>
      </c>
      <c r="Q35" s="81">
        <f t="shared" ref="Q35" si="20">N35</f>
        <v>40.673000000000002</v>
      </c>
      <c r="R35" s="79"/>
      <c r="S35" s="95">
        <f>-(Q35*O4)</f>
        <v>-860.64068000000009</v>
      </c>
      <c r="T35" s="95">
        <f>-(Q35*P4)</f>
        <v>-1180.3304600000001</v>
      </c>
    </row>
    <row r="36" spans="1:20" hidden="1" x14ac:dyDescent="0.25">
      <c r="A36" s="5">
        <v>45170</v>
      </c>
      <c r="B36" s="80"/>
      <c r="C36" s="80"/>
      <c r="D36" s="20" t="s">
        <v>30</v>
      </c>
      <c r="E36" s="80"/>
      <c r="F36" s="82"/>
      <c r="G36" s="82"/>
      <c r="H36" s="82"/>
      <c r="I36" s="82"/>
      <c r="J36" s="80"/>
      <c r="K36" s="80"/>
      <c r="L36" s="80"/>
      <c r="M36" s="80"/>
      <c r="N36" s="82"/>
      <c r="O36" s="86"/>
      <c r="P36" s="86"/>
      <c r="Q36" s="82"/>
      <c r="R36" s="80"/>
      <c r="S36" s="96"/>
      <c r="T36" s="96"/>
    </row>
    <row r="37" spans="1:20" hidden="1" x14ac:dyDescent="0.25">
      <c r="A37" s="5">
        <v>45200</v>
      </c>
      <c r="B37" s="79">
        <v>11231.77</v>
      </c>
      <c r="C37" s="79">
        <v>1264.5999999999999</v>
      </c>
      <c r="D37" s="20" t="s">
        <v>29</v>
      </c>
      <c r="E37" s="79" t="s">
        <v>21</v>
      </c>
      <c r="F37" s="81">
        <f>1130+857</f>
        <v>1987</v>
      </c>
      <c r="G37" s="81">
        <v>1975.5440000000001</v>
      </c>
      <c r="H37" s="81"/>
      <c r="I37" s="81">
        <f t="shared" ref="I37" si="21">F37-G37</f>
        <v>11.455999999999904</v>
      </c>
      <c r="J37" s="79"/>
      <c r="K37" s="79">
        <v>0</v>
      </c>
      <c r="L37" s="79"/>
      <c r="M37" s="79"/>
      <c r="N37" s="81">
        <v>40.673000000000002</v>
      </c>
      <c r="O37" s="85">
        <f>N37*O4</f>
        <v>860.64068000000009</v>
      </c>
      <c r="P37" s="85">
        <f>N37*P4</f>
        <v>1180.3304600000001</v>
      </c>
      <c r="Q37" s="81">
        <f t="shared" ref="Q37" si="22">N37</f>
        <v>40.673000000000002</v>
      </c>
      <c r="R37" s="79"/>
      <c r="S37" s="95">
        <f>-(Q37*O4)</f>
        <v>-860.64068000000009</v>
      </c>
      <c r="T37" s="95">
        <f>-(Q37*P4)</f>
        <v>-1180.3304600000001</v>
      </c>
    </row>
    <row r="38" spans="1:20" hidden="1" x14ac:dyDescent="0.25">
      <c r="A38" s="5">
        <v>45200</v>
      </c>
      <c r="B38" s="80"/>
      <c r="C38" s="80"/>
      <c r="D38" s="20" t="s">
        <v>30</v>
      </c>
      <c r="E38" s="80"/>
      <c r="F38" s="82"/>
      <c r="G38" s="82"/>
      <c r="H38" s="82"/>
      <c r="I38" s="82"/>
      <c r="J38" s="80"/>
      <c r="K38" s="80"/>
      <c r="L38" s="80"/>
      <c r="M38" s="80"/>
      <c r="N38" s="82"/>
      <c r="O38" s="86"/>
      <c r="P38" s="86"/>
      <c r="Q38" s="82"/>
      <c r="R38" s="80"/>
      <c r="S38" s="96"/>
      <c r="T38" s="96"/>
    </row>
    <row r="39" spans="1:20" hidden="1" x14ac:dyDescent="0.25">
      <c r="A39" s="5">
        <v>45231</v>
      </c>
      <c r="B39" s="79">
        <v>11231.77</v>
      </c>
      <c r="C39" s="79">
        <v>1264.5999999999999</v>
      </c>
      <c r="D39" s="20" t="s">
        <v>29</v>
      </c>
      <c r="E39" s="79" t="s">
        <v>21</v>
      </c>
      <c r="F39" s="81">
        <f>1058+833</f>
        <v>1891</v>
      </c>
      <c r="G39" s="81">
        <v>1985.1659999999999</v>
      </c>
      <c r="H39" s="81"/>
      <c r="I39" s="81">
        <f t="shared" ref="I39" si="23">F39-G39</f>
        <v>-94.16599999999994</v>
      </c>
      <c r="J39" s="79"/>
      <c r="K39" s="79">
        <v>0</v>
      </c>
      <c r="L39" s="79"/>
      <c r="M39" s="79"/>
      <c r="N39" s="81">
        <v>40.673000000000002</v>
      </c>
      <c r="O39" s="85">
        <f>N39*O4</f>
        <v>860.64068000000009</v>
      </c>
      <c r="P39" s="85">
        <f>N39*P4</f>
        <v>1180.3304600000001</v>
      </c>
      <c r="Q39" s="81">
        <f t="shared" ref="Q39" si="24">N39</f>
        <v>40.673000000000002</v>
      </c>
      <c r="R39" s="79"/>
      <c r="S39" s="95">
        <f>-(Q39*O4)</f>
        <v>-860.64068000000009</v>
      </c>
      <c r="T39" s="95">
        <f>-(Q39*P4)</f>
        <v>-1180.3304600000001</v>
      </c>
    </row>
    <row r="40" spans="1:20" hidden="1" x14ac:dyDescent="0.25">
      <c r="A40" s="5">
        <v>45231</v>
      </c>
      <c r="B40" s="80"/>
      <c r="C40" s="80"/>
      <c r="D40" s="20" t="s">
        <v>30</v>
      </c>
      <c r="E40" s="80"/>
      <c r="F40" s="82"/>
      <c r="G40" s="82"/>
      <c r="H40" s="82"/>
      <c r="I40" s="82"/>
      <c r="J40" s="80"/>
      <c r="K40" s="80"/>
      <c r="L40" s="80"/>
      <c r="M40" s="80"/>
      <c r="N40" s="82"/>
      <c r="O40" s="86"/>
      <c r="P40" s="86"/>
      <c r="Q40" s="82"/>
      <c r="R40" s="80"/>
      <c r="S40" s="96"/>
      <c r="T40" s="96"/>
    </row>
    <row r="41" spans="1:20" hidden="1" x14ac:dyDescent="0.25">
      <c r="A41" s="5">
        <v>45261</v>
      </c>
      <c r="B41" s="79">
        <v>11231.77</v>
      </c>
      <c r="C41" s="79">
        <v>1264.5999999999999</v>
      </c>
      <c r="D41" s="20" t="s">
        <v>29</v>
      </c>
      <c r="E41" s="79" t="s">
        <v>21</v>
      </c>
      <c r="F41" s="81">
        <f>969+799</f>
        <v>1768</v>
      </c>
      <c r="G41" s="81">
        <v>1991.0830000000001</v>
      </c>
      <c r="H41" s="81"/>
      <c r="I41" s="81">
        <f t="shared" ref="I41" si="25">F41-G41</f>
        <v>-223.08300000000008</v>
      </c>
      <c r="J41" s="79"/>
      <c r="K41" s="79">
        <v>0</v>
      </c>
      <c r="L41" s="79"/>
      <c r="M41" s="79"/>
      <c r="N41" s="81">
        <v>40.673000000000002</v>
      </c>
      <c r="O41" s="85">
        <f>N41*O4</f>
        <v>860.64068000000009</v>
      </c>
      <c r="P41" s="85">
        <f>N41*P4</f>
        <v>1180.3304600000001</v>
      </c>
      <c r="Q41" s="81">
        <f t="shared" ref="Q41" si="26">N41</f>
        <v>40.673000000000002</v>
      </c>
      <c r="R41" s="79"/>
      <c r="S41" s="95">
        <f>-(Q41*O4)</f>
        <v>-860.64068000000009</v>
      </c>
      <c r="T41" s="95">
        <f>-(Q41*P4)</f>
        <v>-1180.3304600000001</v>
      </c>
    </row>
    <row r="42" spans="1:20" hidden="1" x14ac:dyDescent="0.25">
      <c r="A42" s="5">
        <v>45261</v>
      </c>
      <c r="B42" s="80"/>
      <c r="C42" s="80"/>
      <c r="D42" s="20" t="s">
        <v>30</v>
      </c>
      <c r="E42" s="80"/>
      <c r="F42" s="82"/>
      <c r="G42" s="82"/>
      <c r="H42" s="82"/>
      <c r="I42" s="82"/>
      <c r="J42" s="80"/>
      <c r="K42" s="80"/>
      <c r="L42" s="80"/>
      <c r="M42" s="80"/>
      <c r="N42" s="82"/>
      <c r="O42" s="86"/>
      <c r="P42" s="86"/>
      <c r="Q42" s="82"/>
      <c r="R42" s="80"/>
      <c r="S42" s="96"/>
      <c r="T42" s="96"/>
    </row>
    <row r="43" spans="1:20" hidden="1" x14ac:dyDescent="0.25">
      <c r="B43" s="1"/>
      <c r="C43" s="1"/>
      <c r="N43" s="38" t="s">
        <v>46</v>
      </c>
      <c r="O43" s="39">
        <f>SUM(O19:O42)</f>
        <v>10327.688160000003</v>
      </c>
      <c r="P43" s="39">
        <f>SUM(P19:P42)</f>
        <v>14163.965520000005</v>
      </c>
      <c r="Q43" s="41"/>
      <c r="R43" s="41"/>
      <c r="S43" s="39">
        <f>SUM(S19:S42)</f>
        <v>-10327.688160000003</v>
      </c>
      <c r="T43" s="39">
        <f>SUM(T19:T42)</f>
        <v>-14163.965520000005</v>
      </c>
    </row>
    <row r="44" spans="1:20" hidden="1" x14ac:dyDescent="0.25">
      <c r="B44" s="1"/>
      <c r="C44" s="1"/>
      <c r="N44" s="41"/>
      <c r="O44" s="41"/>
      <c r="P44" s="41"/>
      <c r="Q44" s="41"/>
      <c r="R44" s="41" t="s">
        <v>41</v>
      </c>
      <c r="T44" s="41"/>
    </row>
    <row r="45" spans="1:20" hidden="1" x14ac:dyDescent="0.25">
      <c r="B45" s="1"/>
      <c r="C45" s="1"/>
      <c r="N45" s="41"/>
      <c r="O45" s="41"/>
      <c r="P45" s="41"/>
      <c r="Q45" s="41"/>
      <c r="R45" s="41"/>
      <c r="S45" s="41"/>
      <c r="T45" s="42">
        <f>T43+S43</f>
        <v>-24491.65368000001</v>
      </c>
    </row>
    <row r="46" spans="1:20" hidden="1" x14ac:dyDescent="0.25"/>
    <row r="47" spans="1:20" hidden="1" x14ac:dyDescent="0.25"/>
    <row r="48" spans="1:20" hidden="1" x14ac:dyDescent="0.25"/>
    <row r="49" spans="1:20" hidden="1" x14ac:dyDescent="0.25"/>
    <row r="50" spans="1:20" hidden="1" x14ac:dyDescent="0.25">
      <c r="A50" s="5">
        <v>45292</v>
      </c>
      <c r="B50" s="79">
        <v>11231.77</v>
      </c>
      <c r="C50" s="79">
        <v>1264.5999999999999</v>
      </c>
      <c r="D50" s="20" t="s">
        <v>29</v>
      </c>
      <c r="E50" s="79" t="s">
        <v>21</v>
      </c>
      <c r="F50" s="81">
        <f>1119+933</f>
        <v>2052</v>
      </c>
      <c r="G50" s="81">
        <v>2066.12</v>
      </c>
      <c r="H50" s="81"/>
      <c r="I50" s="81">
        <f t="shared" ref="I50" si="27">F50-G50</f>
        <v>-14.119999999999891</v>
      </c>
      <c r="J50" s="79"/>
      <c r="K50" s="79">
        <v>0</v>
      </c>
      <c r="L50" s="79"/>
      <c r="M50" s="79"/>
      <c r="N50" s="81">
        <v>40.673000000000002</v>
      </c>
      <c r="O50" s="83">
        <f>N50*Q3</f>
        <v>860.64068000000009</v>
      </c>
      <c r="P50" s="83">
        <f>N50*R3</f>
        <v>1180.3304600000001</v>
      </c>
      <c r="Q50" s="93"/>
      <c r="R50" s="93"/>
      <c r="S50" s="87">
        <f>-(N50*Q3)</f>
        <v>-860.64068000000009</v>
      </c>
      <c r="T50" s="87">
        <f>-(N50*R3)</f>
        <v>-1180.3304600000001</v>
      </c>
    </row>
    <row r="51" spans="1:20" hidden="1" x14ac:dyDescent="0.25">
      <c r="A51" s="5">
        <v>45292</v>
      </c>
      <c r="B51" s="80"/>
      <c r="C51" s="80"/>
      <c r="D51" s="20" t="s">
        <v>30</v>
      </c>
      <c r="E51" s="80"/>
      <c r="F51" s="82"/>
      <c r="G51" s="82"/>
      <c r="H51" s="82"/>
      <c r="I51" s="82"/>
      <c r="J51" s="80"/>
      <c r="K51" s="80"/>
      <c r="L51" s="80"/>
      <c r="M51" s="80"/>
      <c r="N51" s="82"/>
      <c r="O51" s="84"/>
      <c r="P51" s="84"/>
      <c r="Q51" s="94"/>
      <c r="R51" s="94"/>
      <c r="S51" s="88"/>
      <c r="T51" s="88"/>
    </row>
    <row r="52" spans="1:20" hidden="1" x14ac:dyDescent="0.25">
      <c r="A52" s="5">
        <v>45323</v>
      </c>
      <c r="B52" s="79">
        <v>11231.77</v>
      </c>
      <c r="C52" s="79">
        <v>1264.5999999999999</v>
      </c>
      <c r="D52" s="20" t="s">
        <v>29</v>
      </c>
      <c r="E52" s="79" t="s">
        <v>21</v>
      </c>
      <c r="F52" s="81">
        <f>802+695</f>
        <v>1497</v>
      </c>
      <c r="G52" s="81">
        <v>791.32299999999998</v>
      </c>
      <c r="H52" s="81"/>
      <c r="I52" s="81">
        <f t="shared" ref="I52" si="28">F52-G52</f>
        <v>705.67700000000002</v>
      </c>
      <c r="J52" s="79"/>
      <c r="K52" s="79">
        <v>0</v>
      </c>
      <c r="L52" s="79"/>
      <c r="M52" s="79"/>
      <c r="N52" s="81">
        <v>40.673000000000002</v>
      </c>
      <c r="O52" s="83">
        <f>N52*Q3</f>
        <v>860.64068000000009</v>
      </c>
      <c r="P52" s="83">
        <f>N52*R3</f>
        <v>1180.3304600000001</v>
      </c>
      <c r="Q52" s="89"/>
      <c r="R52" s="91"/>
      <c r="S52" s="87">
        <f>-(N52*Q3)</f>
        <v>-860.64068000000009</v>
      </c>
      <c r="T52" s="87">
        <f>-(N52*R3)</f>
        <v>-1180.3304600000001</v>
      </c>
    </row>
    <row r="53" spans="1:20" hidden="1" x14ac:dyDescent="0.25">
      <c r="A53" s="5">
        <v>45323</v>
      </c>
      <c r="B53" s="80"/>
      <c r="C53" s="80"/>
      <c r="D53" s="20" t="s">
        <v>30</v>
      </c>
      <c r="E53" s="80"/>
      <c r="F53" s="82"/>
      <c r="G53" s="82"/>
      <c r="H53" s="82"/>
      <c r="I53" s="82"/>
      <c r="J53" s="80"/>
      <c r="K53" s="80"/>
      <c r="L53" s="80"/>
      <c r="M53" s="80"/>
      <c r="N53" s="82"/>
      <c r="O53" s="84"/>
      <c r="P53" s="84"/>
      <c r="Q53" s="90"/>
      <c r="R53" s="92"/>
      <c r="S53" s="88"/>
      <c r="T53" s="88"/>
    </row>
    <row r="54" spans="1:20" hidden="1" x14ac:dyDescent="0.25">
      <c r="A54" s="5">
        <v>45352</v>
      </c>
      <c r="B54" s="79">
        <v>11231.77</v>
      </c>
      <c r="C54" s="79">
        <v>1264.5999999999999</v>
      </c>
      <c r="D54" s="20" t="s">
        <v>29</v>
      </c>
      <c r="E54" s="79" t="s">
        <v>21</v>
      </c>
      <c r="F54" s="81">
        <f>810+741</f>
        <v>1551</v>
      </c>
      <c r="G54" s="81">
        <v>755.66</v>
      </c>
      <c r="H54" s="81"/>
      <c r="I54" s="81">
        <f>F54-G54</f>
        <v>795.34</v>
      </c>
      <c r="J54" s="79"/>
      <c r="K54" s="79">
        <v>0</v>
      </c>
      <c r="L54" s="79"/>
      <c r="M54" s="79"/>
      <c r="N54" s="81">
        <v>40.673000000000002</v>
      </c>
      <c r="O54" s="83">
        <f>N54*Q3</f>
        <v>860.64068000000009</v>
      </c>
      <c r="P54" s="83">
        <f>N54*R3</f>
        <v>1180.3304600000001</v>
      </c>
      <c r="Q54" s="89"/>
      <c r="R54" s="91"/>
      <c r="S54" s="87">
        <f>-(N54*Q3)</f>
        <v>-860.64068000000009</v>
      </c>
      <c r="T54" s="87">
        <f>-(N54*R3)</f>
        <v>-1180.3304600000001</v>
      </c>
    </row>
    <row r="55" spans="1:20" hidden="1" x14ac:dyDescent="0.25">
      <c r="A55" s="5">
        <v>45352</v>
      </c>
      <c r="B55" s="80"/>
      <c r="C55" s="80"/>
      <c r="D55" s="20" t="s">
        <v>30</v>
      </c>
      <c r="E55" s="80"/>
      <c r="F55" s="82"/>
      <c r="G55" s="82"/>
      <c r="H55" s="82"/>
      <c r="I55" s="82"/>
      <c r="J55" s="80"/>
      <c r="K55" s="80"/>
      <c r="L55" s="80"/>
      <c r="M55" s="80"/>
      <c r="N55" s="82"/>
      <c r="O55" s="84"/>
      <c r="P55" s="84"/>
      <c r="Q55" s="90"/>
      <c r="R55" s="92"/>
      <c r="S55" s="88"/>
      <c r="T55" s="88"/>
    </row>
    <row r="56" spans="1:20" hidden="1" x14ac:dyDescent="0.25">
      <c r="A56" s="5">
        <v>45383</v>
      </c>
      <c r="B56" s="79">
        <v>11231.77</v>
      </c>
      <c r="C56" s="79">
        <v>1264.5999999999999</v>
      </c>
      <c r="D56" s="20" t="s">
        <v>29</v>
      </c>
      <c r="E56" s="79" t="s">
        <v>21</v>
      </c>
      <c r="F56" s="81">
        <f>1031+867</f>
        <v>1898</v>
      </c>
      <c r="G56" s="81">
        <v>2092.223</v>
      </c>
      <c r="H56" s="81"/>
      <c r="I56" s="81">
        <f>F56-G56</f>
        <v>-194.22299999999996</v>
      </c>
      <c r="J56" s="79"/>
      <c r="K56" s="79">
        <v>0</v>
      </c>
      <c r="L56" s="79"/>
      <c r="M56" s="79"/>
      <c r="N56" s="81">
        <v>40.673000000000002</v>
      </c>
      <c r="O56" s="83">
        <f>N56*Q3</f>
        <v>860.64068000000009</v>
      </c>
      <c r="P56" s="83">
        <f>N56*R3</f>
        <v>1180.3304600000001</v>
      </c>
      <c r="Q56" s="89"/>
      <c r="R56" s="91"/>
      <c r="S56" s="87">
        <f>-(N56*Q3)</f>
        <v>-860.64068000000009</v>
      </c>
      <c r="T56" s="87">
        <f>-(N56*R3)</f>
        <v>-1180.3304600000001</v>
      </c>
    </row>
    <row r="57" spans="1:20" hidden="1" x14ac:dyDescent="0.25">
      <c r="A57" s="5">
        <v>45383</v>
      </c>
      <c r="B57" s="80"/>
      <c r="C57" s="80"/>
      <c r="D57" s="20" t="s">
        <v>30</v>
      </c>
      <c r="E57" s="80"/>
      <c r="F57" s="82"/>
      <c r="G57" s="82"/>
      <c r="H57" s="82"/>
      <c r="I57" s="82"/>
      <c r="J57" s="80"/>
      <c r="K57" s="80"/>
      <c r="L57" s="80"/>
      <c r="M57" s="80"/>
      <c r="N57" s="82"/>
      <c r="O57" s="84"/>
      <c r="P57" s="84"/>
      <c r="Q57" s="90"/>
      <c r="R57" s="92"/>
      <c r="S57" s="88"/>
      <c r="T57" s="88"/>
    </row>
    <row r="58" spans="1:20" hidden="1" x14ac:dyDescent="0.25">
      <c r="A58" s="5">
        <v>45413</v>
      </c>
      <c r="B58" s="79">
        <v>11231.77</v>
      </c>
      <c r="C58" s="79">
        <v>1264.5999999999999</v>
      </c>
      <c r="D58" s="20" t="s">
        <v>29</v>
      </c>
      <c r="E58" s="79" t="s">
        <v>21</v>
      </c>
      <c r="F58" s="81">
        <f>961+699</f>
        <v>1660</v>
      </c>
      <c r="G58" s="81">
        <v>2100.2660000000001</v>
      </c>
      <c r="H58" s="81"/>
      <c r="I58" s="81">
        <f>F58-G58</f>
        <v>-440.26600000000008</v>
      </c>
      <c r="J58" s="79"/>
      <c r="K58" s="79">
        <v>0</v>
      </c>
      <c r="L58" s="79"/>
      <c r="M58" s="79"/>
      <c r="N58" s="81">
        <v>40.673000000000002</v>
      </c>
      <c r="O58" s="83">
        <f>N58*Q3</f>
        <v>860.64068000000009</v>
      </c>
      <c r="P58" s="83">
        <f>N58*R3</f>
        <v>1180.3304600000001</v>
      </c>
      <c r="Q58" s="89"/>
      <c r="R58" s="91"/>
      <c r="S58" s="87">
        <f>-(N58*Q3)</f>
        <v>-860.64068000000009</v>
      </c>
      <c r="T58" s="87">
        <f>-(N58*R3)</f>
        <v>-1180.3304600000001</v>
      </c>
    </row>
    <row r="59" spans="1:20" hidden="1" x14ac:dyDescent="0.25">
      <c r="A59" s="5">
        <v>45413</v>
      </c>
      <c r="B59" s="80"/>
      <c r="C59" s="80"/>
      <c r="D59" s="20" t="s">
        <v>30</v>
      </c>
      <c r="E59" s="80"/>
      <c r="F59" s="82"/>
      <c r="G59" s="82"/>
      <c r="H59" s="82"/>
      <c r="I59" s="82"/>
      <c r="J59" s="80"/>
      <c r="K59" s="80"/>
      <c r="L59" s="80"/>
      <c r="M59" s="80"/>
      <c r="N59" s="82"/>
      <c r="O59" s="84"/>
      <c r="P59" s="84"/>
      <c r="Q59" s="90"/>
      <c r="R59" s="92"/>
      <c r="S59" s="88"/>
      <c r="T59" s="88"/>
    </row>
    <row r="60" spans="1:20" hidden="1" x14ac:dyDescent="0.25">
      <c r="A60" s="5">
        <v>45444</v>
      </c>
      <c r="B60" s="79">
        <v>11231.77</v>
      </c>
      <c r="C60" s="79">
        <v>1264.5999999999999</v>
      </c>
      <c r="D60" s="20" t="s">
        <v>29</v>
      </c>
      <c r="E60" s="79" t="s">
        <v>21</v>
      </c>
      <c r="F60" s="81">
        <f>886+879</f>
        <v>1765</v>
      </c>
      <c r="G60" s="81">
        <v>2022.7739999999999</v>
      </c>
      <c r="H60" s="81"/>
      <c r="I60" s="81">
        <f>F60-G60</f>
        <v>-257.77399999999989</v>
      </c>
      <c r="J60" s="79"/>
      <c r="K60" s="79">
        <v>0</v>
      </c>
      <c r="L60" s="79"/>
      <c r="M60" s="79"/>
      <c r="N60" s="81">
        <v>40.673000000000002</v>
      </c>
      <c r="O60" s="83">
        <f>N60*Q3</f>
        <v>860.64068000000009</v>
      </c>
      <c r="P60" s="83">
        <f>N60*R3</f>
        <v>1180.3304600000001</v>
      </c>
      <c r="Q60" s="89"/>
      <c r="R60" s="91"/>
      <c r="S60" s="87">
        <f>-(N60*Q3)</f>
        <v>-860.64068000000009</v>
      </c>
      <c r="T60" s="87">
        <f>-(N60*R3)</f>
        <v>-1180.3304600000001</v>
      </c>
    </row>
    <row r="61" spans="1:20" hidden="1" x14ac:dyDescent="0.25">
      <c r="A61" s="5">
        <v>45444</v>
      </c>
      <c r="B61" s="80"/>
      <c r="C61" s="80"/>
      <c r="D61" s="20" t="s">
        <v>30</v>
      </c>
      <c r="E61" s="80"/>
      <c r="F61" s="82"/>
      <c r="G61" s="82"/>
      <c r="H61" s="82"/>
      <c r="I61" s="82"/>
      <c r="J61" s="80"/>
      <c r="K61" s="80"/>
      <c r="L61" s="80"/>
      <c r="M61" s="80"/>
      <c r="N61" s="82"/>
      <c r="O61" s="84"/>
      <c r="P61" s="84"/>
      <c r="Q61" s="90"/>
      <c r="R61" s="92"/>
      <c r="S61" s="88"/>
      <c r="T61" s="88"/>
    </row>
    <row r="62" spans="1:20" hidden="1" x14ac:dyDescent="0.25">
      <c r="A62" s="5">
        <v>45474</v>
      </c>
      <c r="B62" s="79">
        <v>11231.77</v>
      </c>
      <c r="C62" s="79">
        <v>1264.5999999999999</v>
      </c>
      <c r="D62" s="20" t="s">
        <v>29</v>
      </c>
      <c r="E62" s="79" t="s">
        <v>21</v>
      </c>
      <c r="F62" s="81">
        <f>1025+733</f>
        <v>1758</v>
      </c>
      <c r="G62" s="81">
        <v>2015.1310000000001</v>
      </c>
      <c r="H62" s="81"/>
      <c r="I62" s="81">
        <f>F62-G62</f>
        <v>-257.13100000000009</v>
      </c>
      <c r="J62" s="79"/>
      <c r="K62" s="79">
        <v>0</v>
      </c>
      <c r="L62" s="79"/>
      <c r="M62" s="79"/>
      <c r="N62" s="81">
        <v>40.673000000000002</v>
      </c>
      <c r="O62" s="83">
        <f>N62*Q4</f>
        <v>954.18858000000012</v>
      </c>
      <c r="P62" s="85">
        <f>N62*R4</f>
        <v>1261.2697300000002</v>
      </c>
      <c r="Q62" s="81"/>
      <c r="R62" s="79"/>
      <c r="S62" s="87">
        <f>-(N62*Q4)</f>
        <v>-954.18858000000012</v>
      </c>
      <c r="T62" s="87">
        <f>-(N62*R4)</f>
        <v>-1261.2697300000002</v>
      </c>
    </row>
    <row r="63" spans="1:20" hidden="1" x14ac:dyDescent="0.25">
      <c r="A63" s="5">
        <v>45474</v>
      </c>
      <c r="B63" s="80"/>
      <c r="C63" s="80"/>
      <c r="D63" s="20" t="s">
        <v>30</v>
      </c>
      <c r="E63" s="80"/>
      <c r="F63" s="82"/>
      <c r="G63" s="82"/>
      <c r="H63" s="82"/>
      <c r="I63" s="82"/>
      <c r="J63" s="80"/>
      <c r="K63" s="80"/>
      <c r="L63" s="80"/>
      <c r="M63" s="80"/>
      <c r="N63" s="82"/>
      <c r="O63" s="84"/>
      <c r="P63" s="86"/>
      <c r="Q63" s="82"/>
      <c r="R63" s="80"/>
      <c r="S63" s="88"/>
      <c r="T63" s="88"/>
    </row>
    <row r="64" spans="1:20" hidden="1" x14ac:dyDescent="0.25">
      <c r="A64" s="5">
        <v>45505</v>
      </c>
      <c r="B64" s="79">
        <v>11231.77</v>
      </c>
      <c r="C64" s="79">
        <v>1264.5999999999999</v>
      </c>
      <c r="D64" s="20" t="s">
        <v>29</v>
      </c>
      <c r="E64" s="79" t="s">
        <v>21</v>
      </c>
      <c r="F64" s="81">
        <f>1094+768</f>
        <v>1862</v>
      </c>
      <c r="G64" s="81">
        <v>2124.5720000000001</v>
      </c>
      <c r="H64" s="81"/>
      <c r="I64" s="81">
        <f>F64-G64</f>
        <v>-262.57200000000012</v>
      </c>
      <c r="J64" s="79"/>
      <c r="K64" s="79">
        <v>0</v>
      </c>
      <c r="L64" s="79"/>
      <c r="M64" s="79"/>
      <c r="N64" s="81">
        <v>40.673000000000002</v>
      </c>
      <c r="O64" s="83">
        <f>N64*Q4</f>
        <v>954.18858000000012</v>
      </c>
      <c r="P64" s="85">
        <f>N64*R4</f>
        <v>1261.2697300000002</v>
      </c>
      <c r="Q64" s="81"/>
      <c r="R64" s="79"/>
      <c r="S64" s="87">
        <f>-(N64*Q4)</f>
        <v>-954.18858000000012</v>
      </c>
      <c r="T64" s="87">
        <f>-(N64*R4)</f>
        <v>-1261.2697300000002</v>
      </c>
    </row>
    <row r="65" spans="1:20" hidden="1" x14ac:dyDescent="0.25">
      <c r="A65" s="5">
        <v>45139</v>
      </c>
      <c r="B65" s="80"/>
      <c r="C65" s="80"/>
      <c r="D65" s="20" t="s">
        <v>30</v>
      </c>
      <c r="E65" s="80"/>
      <c r="F65" s="82"/>
      <c r="G65" s="82"/>
      <c r="H65" s="82"/>
      <c r="I65" s="82"/>
      <c r="J65" s="80"/>
      <c r="K65" s="80"/>
      <c r="L65" s="80"/>
      <c r="M65" s="80"/>
      <c r="N65" s="82"/>
      <c r="O65" s="84"/>
      <c r="P65" s="86"/>
      <c r="Q65" s="82"/>
      <c r="R65" s="80"/>
      <c r="S65" s="88"/>
      <c r="T65" s="88"/>
    </row>
    <row r="66" spans="1:20" hidden="1" x14ac:dyDescent="0.25">
      <c r="A66" s="5">
        <v>45536</v>
      </c>
      <c r="B66" s="79">
        <v>11231.77</v>
      </c>
      <c r="C66" s="79">
        <v>1264.5999999999999</v>
      </c>
      <c r="D66" s="20" t="s">
        <v>29</v>
      </c>
      <c r="E66" s="79" t="s">
        <v>21</v>
      </c>
      <c r="F66" s="81">
        <f>1089+731</f>
        <v>1820</v>
      </c>
      <c r="G66" s="81">
        <v>2087.8110000000001</v>
      </c>
      <c r="H66" s="81"/>
      <c r="I66" s="81">
        <f>F66-G66</f>
        <v>-267.81100000000015</v>
      </c>
      <c r="J66" s="79"/>
      <c r="K66" s="79">
        <v>0</v>
      </c>
      <c r="L66" s="79"/>
      <c r="M66" s="79"/>
      <c r="N66" s="81">
        <v>40.673000000000002</v>
      </c>
      <c r="O66" s="83">
        <f>N66*Q4</f>
        <v>954.18858000000012</v>
      </c>
      <c r="P66" s="85">
        <f>N66*R4</f>
        <v>1261.2697300000002</v>
      </c>
      <c r="Q66" s="81"/>
      <c r="R66" s="79"/>
      <c r="S66" s="87">
        <f>-(N66*Q4)</f>
        <v>-954.18858000000012</v>
      </c>
      <c r="T66" s="87">
        <f>-(N66*R4)</f>
        <v>-1261.2697300000002</v>
      </c>
    </row>
    <row r="67" spans="1:20" hidden="1" x14ac:dyDescent="0.25">
      <c r="A67" s="5">
        <v>45170</v>
      </c>
      <c r="B67" s="80"/>
      <c r="C67" s="80"/>
      <c r="D67" s="20" t="s">
        <v>30</v>
      </c>
      <c r="E67" s="80"/>
      <c r="F67" s="82"/>
      <c r="G67" s="82"/>
      <c r="H67" s="82"/>
      <c r="I67" s="82"/>
      <c r="J67" s="80"/>
      <c r="K67" s="80"/>
      <c r="L67" s="80"/>
      <c r="M67" s="80"/>
      <c r="N67" s="82"/>
      <c r="O67" s="84"/>
      <c r="P67" s="86"/>
      <c r="Q67" s="82"/>
      <c r="R67" s="80"/>
      <c r="S67" s="88"/>
      <c r="T67" s="88"/>
    </row>
    <row r="68" spans="1:20" hidden="1" x14ac:dyDescent="0.25">
      <c r="A68" s="5">
        <v>45566</v>
      </c>
      <c r="B68" s="79">
        <v>11231.77</v>
      </c>
      <c r="C68" s="79">
        <v>1264.5999999999999</v>
      </c>
      <c r="D68" s="20" t="s">
        <v>29</v>
      </c>
      <c r="E68" s="79" t="s">
        <v>21</v>
      </c>
      <c r="F68" s="81">
        <f>1023+742</f>
        <v>1765</v>
      </c>
      <c r="G68" s="81">
        <v>2053.2469999999998</v>
      </c>
      <c r="H68" s="81"/>
      <c r="I68" s="81">
        <f>F68-G68</f>
        <v>-288.24699999999984</v>
      </c>
      <c r="J68" s="79"/>
      <c r="K68" s="79">
        <v>0</v>
      </c>
      <c r="L68" s="79"/>
      <c r="M68" s="79"/>
      <c r="N68" s="81"/>
      <c r="O68" s="83">
        <f>N68*Q4</f>
        <v>0</v>
      </c>
      <c r="P68" s="85">
        <f>N68*R4</f>
        <v>0</v>
      </c>
      <c r="Q68" s="81"/>
      <c r="R68" s="79"/>
      <c r="S68" s="87">
        <f>-(N68*Q4)</f>
        <v>0</v>
      </c>
      <c r="T68" s="87">
        <f>-(N68*R4)</f>
        <v>0</v>
      </c>
    </row>
    <row r="69" spans="1:20" hidden="1" x14ac:dyDescent="0.25">
      <c r="A69" s="5">
        <v>45566</v>
      </c>
      <c r="B69" s="80"/>
      <c r="C69" s="80"/>
      <c r="D69" s="20" t="s">
        <v>30</v>
      </c>
      <c r="E69" s="80"/>
      <c r="F69" s="82"/>
      <c r="G69" s="82"/>
      <c r="H69" s="82"/>
      <c r="I69" s="82"/>
      <c r="J69" s="80"/>
      <c r="K69" s="80"/>
      <c r="L69" s="80"/>
      <c r="M69" s="80"/>
      <c r="N69" s="82"/>
      <c r="O69" s="84"/>
      <c r="P69" s="86"/>
      <c r="Q69" s="82"/>
      <c r="R69" s="80"/>
      <c r="S69" s="88"/>
      <c r="T69" s="88"/>
    </row>
    <row r="70" spans="1:20" hidden="1" x14ac:dyDescent="0.25">
      <c r="A70" s="5">
        <v>45597</v>
      </c>
      <c r="B70" s="79">
        <v>11231.77</v>
      </c>
      <c r="C70" s="79">
        <v>1264.5999999999999</v>
      </c>
      <c r="D70" s="20" t="s">
        <v>29</v>
      </c>
      <c r="E70" s="79" t="s">
        <v>21</v>
      </c>
      <c r="F70" s="81">
        <f>1072+758</f>
        <v>1830</v>
      </c>
      <c r="G70" s="81">
        <v>2059.5230000000001</v>
      </c>
      <c r="H70" s="81"/>
      <c r="I70" s="81">
        <f>F70-G70</f>
        <v>-229.52300000000014</v>
      </c>
      <c r="J70" s="79"/>
      <c r="K70" s="79">
        <v>0</v>
      </c>
      <c r="L70" s="79"/>
      <c r="M70" s="79"/>
      <c r="N70" s="81"/>
      <c r="O70" s="83">
        <f>N70*Q4</f>
        <v>0</v>
      </c>
      <c r="P70" s="85">
        <f>N70*R4</f>
        <v>0</v>
      </c>
      <c r="Q70" s="81"/>
      <c r="R70" s="79"/>
      <c r="S70" s="87">
        <f>-(N70*Q4)</f>
        <v>0</v>
      </c>
      <c r="T70" s="87">
        <f>-(N70*R4)</f>
        <v>0</v>
      </c>
    </row>
    <row r="71" spans="1:20" hidden="1" x14ac:dyDescent="0.25">
      <c r="A71" s="5">
        <v>45597</v>
      </c>
      <c r="B71" s="80"/>
      <c r="C71" s="80"/>
      <c r="D71" s="20" t="s">
        <v>30</v>
      </c>
      <c r="E71" s="80"/>
      <c r="F71" s="82"/>
      <c r="G71" s="82"/>
      <c r="H71" s="82"/>
      <c r="I71" s="82"/>
      <c r="J71" s="80"/>
      <c r="K71" s="80"/>
      <c r="L71" s="80"/>
      <c r="M71" s="80"/>
      <c r="N71" s="82"/>
      <c r="O71" s="84"/>
      <c r="P71" s="86"/>
      <c r="Q71" s="82"/>
      <c r="R71" s="80"/>
      <c r="S71" s="88"/>
      <c r="T71" s="88"/>
    </row>
    <row r="72" spans="1:20" hidden="1" x14ac:dyDescent="0.25">
      <c r="A72" s="5">
        <v>45627</v>
      </c>
      <c r="B72" s="79">
        <v>11231.77</v>
      </c>
      <c r="C72" s="79">
        <v>1264.5999999999999</v>
      </c>
      <c r="D72" s="20" t="s">
        <v>29</v>
      </c>
      <c r="E72" s="79" t="s">
        <v>21</v>
      </c>
      <c r="F72" s="81">
        <f>1057+714</f>
        <v>1771</v>
      </c>
      <c r="G72" s="81">
        <v>2090.6480000000001</v>
      </c>
      <c r="H72" s="81"/>
      <c r="I72" s="81">
        <f>F72-G72</f>
        <v>-319.64800000000014</v>
      </c>
      <c r="J72" s="79"/>
      <c r="K72" s="79">
        <v>0</v>
      </c>
      <c r="L72" s="79"/>
      <c r="M72" s="79"/>
      <c r="N72" s="81">
        <v>40.673000000000002</v>
      </c>
      <c r="O72" s="83">
        <f>N72*Q4</f>
        <v>954.18858000000012</v>
      </c>
      <c r="P72" s="85">
        <f>N72*R4</f>
        <v>1261.2697300000002</v>
      </c>
      <c r="Q72" s="81"/>
      <c r="R72" s="79"/>
      <c r="S72" s="87">
        <f>-(N72*Q4)</f>
        <v>-954.18858000000012</v>
      </c>
      <c r="T72" s="87">
        <f>-(N72*R4)</f>
        <v>-1261.2697300000002</v>
      </c>
    </row>
    <row r="73" spans="1:20" hidden="1" x14ac:dyDescent="0.25">
      <c r="A73" s="5">
        <v>45627</v>
      </c>
      <c r="B73" s="80"/>
      <c r="C73" s="80"/>
      <c r="D73" s="20" t="s">
        <v>30</v>
      </c>
      <c r="E73" s="80"/>
      <c r="F73" s="82"/>
      <c r="G73" s="82"/>
      <c r="H73" s="82"/>
      <c r="I73" s="82"/>
      <c r="J73" s="80"/>
      <c r="K73" s="80"/>
      <c r="L73" s="80"/>
      <c r="M73" s="80"/>
      <c r="N73" s="82"/>
      <c r="O73" s="84"/>
      <c r="P73" s="86"/>
      <c r="Q73" s="82"/>
      <c r="R73" s="80"/>
      <c r="S73" s="88"/>
      <c r="T73" s="88"/>
    </row>
    <row r="74" spans="1:20" hidden="1" x14ac:dyDescent="0.25">
      <c r="N74" s="60">
        <f>SUM(N50:N73)</f>
        <v>406.73</v>
      </c>
      <c r="S74" s="51">
        <f>SUM(S50:S73)</f>
        <v>-8980.5984000000008</v>
      </c>
      <c r="T74" s="51">
        <f>SUM(T50:T73)</f>
        <v>-12127.061680000001</v>
      </c>
    </row>
    <row r="75" spans="1:20" hidden="1" x14ac:dyDescent="0.25">
      <c r="N75">
        <f>N74/2</f>
        <v>203.36500000000001</v>
      </c>
      <c r="R75" s="41" t="s">
        <v>41</v>
      </c>
      <c r="T75" s="41"/>
    </row>
    <row r="76" spans="1:20" hidden="1" x14ac:dyDescent="0.25">
      <c r="N76">
        <f>N74/2</f>
        <v>203.36500000000001</v>
      </c>
      <c r="R76" s="41"/>
      <c r="S76" s="41"/>
      <c r="T76" s="42">
        <f>S74+T74</f>
        <v>-21107.660080000001</v>
      </c>
    </row>
    <row r="77" spans="1:20" hidden="1" x14ac:dyDescent="0.25"/>
    <row r="78" spans="1:20" hidden="1" x14ac:dyDescent="0.25"/>
    <row r="79" spans="1:20" hidden="1" x14ac:dyDescent="0.25"/>
    <row r="80" spans="1:20" ht="17.25" customHeight="1" x14ac:dyDescent="0.25">
      <c r="A80" s="27"/>
      <c r="B80" s="27"/>
      <c r="C80" s="27"/>
      <c r="D80" s="27"/>
      <c r="E80" s="27"/>
      <c r="F80" s="27"/>
      <c r="G80" s="27"/>
      <c r="H80" s="28"/>
      <c r="I80" s="28"/>
      <c r="J80" s="28"/>
      <c r="K80" s="28"/>
      <c r="L80" s="28"/>
      <c r="M80" s="28"/>
      <c r="N80" s="28"/>
      <c r="O80" s="29" t="s">
        <v>21</v>
      </c>
      <c r="P80" s="29" t="s">
        <v>33</v>
      </c>
      <c r="Q80" s="28"/>
      <c r="R80" s="29" t="s">
        <v>21</v>
      </c>
      <c r="S80" s="29" t="s">
        <v>33</v>
      </c>
      <c r="T80" s="61"/>
    </row>
    <row r="81" spans="1:20" ht="16.5" customHeight="1" x14ac:dyDescent="0.25">
      <c r="A81" s="68" t="s">
        <v>14</v>
      </c>
      <c r="B81" s="68"/>
      <c r="C81" s="68"/>
      <c r="D81" s="68"/>
      <c r="H81" s="69" t="s">
        <v>78</v>
      </c>
      <c r="I81" s="69"/>
      <c r="J81" s="69"/>
      <c r="K81" s="69"/>
      <c r="L81" s="69"/>
      <c r="M81" s="69"/>
      <c r="N81" s="30" t="s">
        <v>76</v>
      </c>
      <c r="O81" s="31">
        <v>23.46</v>
      </c>
      <c r="P81" s="30">
        <v>31.01</v>
      </c>
      <c r="Q81" s="30" t="s">
        <v>77</v>
      </c>
      <c r="R81" s="31">
        <v>26.71</v>
      </c>
      <c r="S81" s="30">
        <v>34.78</v>
      </c>
      <c r="T81" s="61"/>
    </row>
    <row r="82" spans="1:20" ht="83.25" customHeight="1" x14ac:dyDescent="0.25">
      <c r="A82" s="64" t="s">
        <v>3</v>
      </c>
      <c r="B82" s="64" t="s">
        <v>2</v>
      </c>
      <c r="C82" s="70" t="s">
        <v>10</v>
      </c>
      <c r="D82" s="64" t="s">
        <v>11</v>
      </c>
      <c r="E82" s="64" t="s">
        <v>0</v>
      </c>
      <c r="F82" s="67" t="s">
        <v>79</v>
      </c>
      <c r="G82" s="67" t="s">
        <v>80</v>
      </c>
      <c r="H82" s="67" t="s">
        <v>81</v>
      </c>
      <c r="I82" s="67" t="s">
        <v>9</v>
      </c>
      <c r="J82" s="67" t="s">
        <v>22</v>
      </c>
      <c r="K82" s="67"/>
      <c r="L82" s="67" t="s">
        <v>24</v>
      </c>
      <c r="M82" s="67" t="s">
        <v>25</v>
      </c>
      <c r="N82" s="65" t="s">
        <v>44</v>
      </c>
      <c r="O82" s="67" t="s">
        <v>26</v>
      </c>
      <c r="P82" s="67" t="s">
        <v>43</v>
      </c>
      <c r="Q82" s="67" t="s">
        <v>4</v>
      </c>
      <c r="R82" s="67"/>
      <c r="S82" s="64" t="s">
        <v>53</v>
      </c>
      <c r="T82" s="64" t="s">
        <v>52</v>
      </c>
    </row>
    <row r="83" spans="1:20" ht="92.25" customHeight="1" x14ac:dyDescent="0.25">
      <c r="A83" s="64"/>
      <c r="B83" s="64"/>
      <c r="C83" s="71"/>
      <c r="D83" s="64"/>
      <c r="E83" s="64"/>
      <c r="F83" s="67"/>
      <c r="G83" s="67"/>
      <c r="H83" s="67"/>
      <c r="I83" s="67"/>
      <c r="J83" s="63" t="s">
        <v>1</v>
      </c>
      <c r="K83" s="63" t="s">
        <v>23</v>
      </c>
      <c r="L83" s="67"/>
      <c r="M83" s="67"/>
      <c r="N83" s="66"/>
      <c r="O83" s="67"/>
      <c r="P83" s="66"/>
      <c r="Q83" s="63" t="s">
        <v>38</v>
      </c>
      <c r="R83" s="63" t="s">
        <v>82</v>
      </c>
      <c r="S83" s="64"/>
      <c r="T83" s="64"/>
    </row>
    <row r="84" spans="1:20" x14ac:dyDescent="0.25">
      <c r="A84" s="4">
        <v>1</v>
      </c>
      <c r="B84" s="4">
        <v>2</v>
      </c>
      <c r="C84" s="4">
        <v>3</v>
      </c>
      <c r="D84" s="4">
        <v>4</v>
      </c>
      <c r="E84" s="4">
        <v>5</v>
      </c>
      <c r="F84" s="4">
        <v>6</v>
      </c>
      <c r="G84" s="4">
        <v>7</v>
      </c>
      <c r="H84" s="4">
        <v>8</v>
      </c>
      <c r="I84" s="4">
        <v>9</v>
      </c>
      <c r="J84" s="4">
        <v>10</v>
      </c>
      <c r="K84" s="4">
        <v>11</v>
      </c>
      <c r="L84" s="4">
        <v>12</v>
      </c>
      <c r="M84" s="4">
        <v>13</v>
      </c>
      <c r="N84" s="4">
        <v>14</v>
      </c>
      <c r="O84" s="4">
        <v>15</v>
      </c>
      <c r="P84" s="4">
        <v>16</v>
      </c>
      <c r="Q84" s="4">
        <v>17</v>
      </c>
      <c r="R84" s="4">
        <v>18</v>
      </c>
      <c r="S84" s="4">
        <v>19</v>
      </c>
      <c r="T84" s="4">
        <v>20</v>
      </c>
    </row>
    <row r="85" spans="1:20" x14ac:dyDescent="0.25">
      <c r="A85" s="5">
        <v>45658</v>
      </c>
      <c r="B85" s="79">
        <v>11231.77</v>
      </c>
      <c r="C85" s="79">
        <v>1264.5999999999999</v>
      </c>
      <c r="D85" s="20" t="s">
        <v>29</v>
      </c>
      <c r="E85" s="79" t="s">
        <v>21</v>
      </c>
      <c r="F85" s="81">
        <f>1095+715</f>
        <v>1810</v>
      </c>
      <c r="G85" s="81">
        <v>2091.9699999999998</v>
      </c>
      <c r="H85" s="81">
        <v>0</v>
      </c>
      <c r="I85" s="81">
        <f t="shared" ref="I85" si="29">F85-G85</f>
        <v>-281.9699999999998</v>
      </c>
      <c r="J85" s="79"/>
      <c r="K85" s="79">
        <v>0</v>
      </c>
      <c r="L85" s="79"/>
      <c r="M85" s="79"/>
      <c r="N85" s="81">
        <f>C85*0.033</f>
        <v>41.7318</v>
      </c>
      <c r="O85" s="83">
        <f>N85*O81</f>
        <v>979.02802800000006</v>
      </c>
      <c r="P85" s="83">
        <f>N85*P81*2</f>
        <v>2588.206236</v>
      </c>
      <c r="Q85" s="93"/>
      <c r="R85" s="93"/>
      <c r="S85" s="87">
        <f>-(N85*O81)</f>
        <v>-979.02802800000006</v>
      </c>
      <c r="T85" s="87">
        <f>-(N85*P81)*2</f>
        <v>-2588.206236</v>
      </c>
    </row>
    <row r="86" spans="1:20" x14ac:dyDescent="0.25">
      <c r="A86" s="5">
        <v>45658</v>
      </c>
      <c r="B86" s="80"/>
      <c r="C86" s="80"/>
      <c r="D86" s="20" t="s">
        <v>30</v>
      </c>
      <c r="E86" s="80"/>
      <c r="F86" s="82"/>
      <c r="G86" s="82"/>
      <c r="H86" s="82"/>
      <c r="I86" s="82"/>
      <c r="J86" s="80"/>
      <c r="K86" s="80"/>
      <c r="L86" s="80"/>
      <c r="M86" s="80"/>
      <c r="N86" s="82"/>
      <c r="O86" s="84"/>
      <c r="P86" s="84"/>
      <c r="Q86" s="94"/>
      <c r="R86" s="94"/>
      <c r="S86" s="88"/>
      <c r="T86" s="88"/>
    </row>
    <row r="87" spans="1:20" x14ac:dyDescent="0.25">
      <c r="A87" s="5">
        <v>45689</v>
      </c>
      <c r="B87" s="79">
        <v>11231.77</v>
      </c>
      <c r="C87" s="79">
        <v>1264.5999999999999</v>
      </c>
      <c r="D87" s="20" t="s">
        <v>29</v>
      </c>
      <c r="E87" s="79" t="s">
        <v>21</v>
      </c>
      <c r="F87" s="81">
        <f>1162+875</f>
        <v>2037</v>
      </c>
      <c r="G87" s="81">
        <v>2112.2629999999999</v>
      </c>
      <c r="H87" s="81">
        <v>0</v>
      </c>
      <c r="I87" s="81">
        <f t="shared" ref="I87" si="30">F87-G87</f>
        <v>-75.26299999999992</v>
      </c>
      <c r="J87" s="79"/>
      <c r="K87" s="79">
        <v>0</v>
      </c>
      <c r="L87" s="79"/>
      <c r="M87" s="79"/>
      <c r="N87" s="81">
        <f t="shared" ref="N87:N108" si="31">C87*0.033</f>
        <v>41.7318</v>
      </c>
      <c r="O87" s="83">
        <f>N87*O81</f>
        <v>979.02802800000006</v>
      </c>
      <c r="P87" s="83">
        <f>N87*P81*2</f>
        <v>2588.206236</v>
      </c>
      <c r="Q87" s="89"/>
      <c r="R87" s="91"/>
      <c r="S87" s="87">
        <f>-(N87*O81)</f>
        <v>-979.02802800000006</v>
      </c>
      <c r="T87" s="87">
        <f>-(N87*P81)*2</f>
        <v>-2588.206236</v>
      </c>
    </row>
    <row r="88" spans="1:20" x14ac:dyDescent="0.25">
      <c r="A88" s="5">
        <v>45689</v>
      </c>
      <c r="B88" s="80"/>
      <c r="C88" s="80"/>
      <c r="D88" s="20" t="s">
        <v>30</v>
      </c>
      <c r="E88" s="80"/>
      <c r="F88" s="82"/>
      <c r="G88" s="82"/>
      <c r="H88" s="82"/>
      <c r="I88" s="82"/>
      <c r="J88" s="80"/>
      <c r="K88" s="80"/>
      <c r="L88" s="80"/>
      <c r="M88" s="80"/>
      <c r="N88" s="82"/>
      <c r="O88" s="84"/>
      <c r="P88" s="84"/>
      <c r="Q88" s="90"/>
      <c r="R88" s="92"/>
      <c r="S88" s="88"/>
      <c r="T88" s="88"/>
    </row>
    <row r="89" spans="1:20" x14ac:dyDescent="0.25">
      <c r="A89" s="5">
        <v>45717</v>
      </c>
      <c r="B89" s="79">
        <v>11231.77</v>
      </c>
      <c r="C89" s="79">
        <v>1264.5999999999999</v>
      </c>
      <c r="D89" s="20" t="s">
        <v>29</v>
      </c>
      <c r="E89" s="79" t="s">
        <v>21</v>
      </c>
      <c r="F89" s="81">
        <f>973+679</f>
        <v>1652</v>
      </c>
      <c r="G89" s="81">
        <v>2077.8539999999998</v>
      </c>
      <c r="H89" s="81">
        <v>0</v>
      </c>
      <c r="I89" s="81">
        <f>F89-G89</f>
        <v>-425.85399999999981</v>
      </c>
      <c r="J89" s="79"/>
      <c r="K89" s="79">
        <v>0</v>
      </c>
      <c r="L89" s="79"/>
      <c r="M89" s="79"/>
      <c r="N89" s="81">
        <f t="shared" ref="N89:N108" si="32">C89*0.033</f>
        <v>41.7318</v>
      </c>
      <c r="O89" s="83">
        <f>N89*O81</f>
        <v>979.02802800000006</v>
      </c>
      <c r="P89" s="83">
        <f>N89*P81*2</f>
        <v>2588.206236</v>
      </c>
      <c r="Q89" s="89"/>
      <c r="R89" s="91"/>
      <c r="S89" s="87">
        <f>-(N89*O81)</f>
        <v>-979.02802800000006</v>
      </c>
      <c r="T89" s="87">
        <f>-(N89*P81)*21</f>
        <v>-27176.165477999999</v>
      </c>
    </row>
    <row r="90" spans="1:20" x14ac:dyDescent="0.25">
      <c r="A90" s="5">
        <v>45717</v>
      </c>
      <c r="B90" s="80"/>
      <c r="C90" s="80"/>
      <c r="D90" s="20" t="s">
        <v>30</v>
      </c>
      <c r="E90" s="80"/>
      <c r="F90" s="82"/>
      <c r="G90" s="82"/>
      <c r="H90" s="82"/>
      <c r="I90" s="82"/>
      <c r="J90" s="80"/>
      <c r="K90" s="80"/>
      <c r="L90" s="80"/>
      <c r="M90" s="80"/>
      <c r="N90" s="82"/>
      <c r="O90" s="84"/>
      <c r="P90" s="84"/>
      <c r="Q90" s="90"/>
      <c r="R90" s="92"/>
      <c r="S90" s="88"/>
      <c r="T90" s="88"/>
    </row>
    <row r="91" spans="1:20" x14ac:dyDescent="0.25">
      <c r="A91" s="5">
        <v>45748</v>
      </c>
      <c r="B91" s="79">
        <v>11231.77</v>
      </c>
      <c r="C91" s="79">
        <v>1264.5999999999999</v>
      </c>
      <c r="D91" s="20" t="s">
        <v>29</v>
      </c>
      <c r="E91" s="79" t="s">
        <v>21</v>
      </c>
      <c r="F91" s="81">
        <f>1020+748</f>
        <v>1768</v>
      </c>
      <c r="G91" s="81">
        <v>2077.2829999999999</v>
      </c>
      <c r="H91" s="81">
        <v>0</v>
      </c>
      <c r="I91" s="81">
        <f>F91-G91</f>
        <v>-309.2829999999999</v>
      </c>
      <c r="J91" s="79"/>
      <c r="K91" s="79">
        <v>0</v>
      </c>
      <c r="L91" s="79"/>
      <c r="M91" s="79"/>
      <c r="N91" s="81">
        <f t="shared" ref="N91:N108" si="33">C91*0.033</f>
        <v>41.7318</v>
      </c>
      <c r="O91" s="83">
        <f>N91*O81</f>
        <v>979.02802800000006</v>
      </c>
      <c r="P91" s="83">
        <f>N91*P81*2</f>
        <v>2588.206236</v>
      </c>
      <c r="Q91" s="89"/>
      <c r="R91" s="91"/>
      <c r="S91" s="87">
        <f>-(N91*O81)</f>
        <v>-979.02802800000006</v>
      </c>
      <c r="T91" s="87">
        <f>-(N91*P81)*2</f>
        <v>-2588.206236</v>
      </c>
    </row>
    <row r="92" spans="1:20" x14ac:dyDescent="0.25">
      <c r="A92" s="5">
        <v>45748</v>
      </c>
      <c r="B92" s="80"/>
      <c r="C92" s="80"/>
      <c r="D92" s="20" t="s">
        <v>30</v>
      </c>
      <c r="E92" s="80"/>
      <c r="F92" s="82"/>
      <c r="G92" s="82"/>
      <c r="H92" s="82"/>
      <c r="I92" s="82"/>
      <c r="J92" s="80"/>
      <c r="K92" s="80"/>
      <c r="L92" s="80"/>
      <c r="M92" s="80"/>
      <c r="N92" s="82"/>
      <c r="O92" s="84"/>
      <c r="P92" s="84"/>
      <c r="Q92" s="90"/>
      <c r="R92" s="92"/>
      <c r="S92" s="88"/>
      <c r="T92" s="88"/>
    </row>
    <row r="93" spans="1:20" x14ac:dyDescent="0.25">
      <c r="A93" s="5">
        <v>45778</v>
      </c>
      <c r="B93" s="79">
        <v>11231.77</v>
      </c>
      <c r="C93" s="79">
        <v>1264.5999999999999</v>
      </c>
      <c r="D93" s="20" t="s">
        <v>29</v>
      </c>
      <c r="E93" s="79" t="s">
        <v>21</v>
      </c>
      <c r="F93" s="81">
        <f>968+740</f>
        <v>1708</v>
      </c>
      <c r="G93" s="81">
        <v>2127.2510000000002</v>
      </c>
      <c r="H93" s="81">
        <v>0</v>
      </c>
      <c r="I93" s="81">
        <f>F93-G93</f>
        <v>-419.2510000000002</v>
      </c>
      <c r="J93" s="79"/>
      <c r="K93" s="79">
        <v>0</v>
      </c>
      <c r="L93" s="79"/>
      <c r="M93" s="79"/>
      <c r="N93" s="81">
        <f t="shared" ref="N93:N108" si="34">C93*0.033</f>
        <v>41.7318</v>
      </c>
      <c r="O93" s="83">
        <f>N93*O81</f>
        <v>979.02802800000006</v>
      </c>
      <c r="P93" s="83">
        <f>N93*P81*2</f>
        <v>2588.206236</v>
      </c>
      <c r="Q93" s="89"/>
      <c r="R93" s="91"/>
      <c r="S93" s="87">
        <f>-(N93*O81)</f>
        <v>-979.02802800000006</v>
      </c>
      <c r="T93" s="87">
        <f>-(N93*P81)*2</f>
        <v>-2588.206236</v>
      </c>
    </row>
    <row r="94" spans="1:20" x14ac:dyDescent="0.25">
      <c r="A94" s="5">
        <v>45778</v>
      </c>
      <c r="B94" s="80"/>
      <c r="C94" s="80"/>
      <c r="D94" s="20" t="s">
        <v>30</v>
      </c>
      <c r="E94" s="80"/>
      <c r="F94" s="82"/>
      <c r="G94" s="82"/>
      <c r="H94" s="82"/>
      <c r="I94" s="82"/>
      <c r="J94" s="80"/>
      <c r="K94" s="80"/>
      <c r="L94" s="80"/>
      <c r="M94" s="80"/>
      <c r="N94" s="82"/>
      <c r="O94" s="84"/>
      <c r="P94" s="84"/>
      <c r="Q94" s="90"/>
      <c r="R94" s="92"/>
      <c r="S94" s="88"/>
      <c r="T94" s="88"/>
    </row>
    <row r="95" spans="1:20" x14ac:dyDescent="0.25">
      <c r="A95" s="5">
        <v>45809</v>
      </c>
      <c r="B95" s="79">
        <v>11231.77</v>
      </c>
      <c r="C95" s="79">
        <v>1264.5999999999999</v>
      </c>
      <c r="D95" s="20" t="s">
        <v>29</v>
      </c>
      <c r="E95" s="79" t="s">
        <v>21</v>
      </c>
      <c r="F95" s="81">
        <f>871+730</f>
        <v>1601</v>
      </c>
      <c r="G95" s="81">
        <v>2066.011</v>
      </c>
      <c r="H95" s="81">
        <v>0</v>
      </c>
      <c r="I95" s="81">
        <f>F95-G95</f>
        <v>-465.01099999999997</v>
      </c>
      <c r="J95" s="79"/>
      <c r="K95" s="79">
        <v>0</v>
      </c>
      <c r="L95" s="79"/>
      <c r="M95" s="79"/>
      <c r="N95" s="81">
        <f t="shared" ref="N95:N108" si="35">C95*0.033</f>
        <v>41.7318</v>
      </c>
      <c r="O95" s="83">
        <f>N95*O81</f>
        <v>979.02802800000006</v>
      </c>
      <c r="P95" s="83">
        <f>N95*P81*2</f>
        <v>2588.206236</v>
      </c>
      <c r="Q95" s="89"/>
      <c r="R95" s="91"/>
      <c r="S95" s="87">
        <f>-(N95*O81)</f>
        <v>-979.02802800000006</v>
      </c>
      <c r="T95" s="87">
        <f>-(N95*P81)*2</f>
        <v>-2588.206236</v>
      </c>
    </row>
    <row r="96" spans="1:20" x14ac:dyDescent="0.25">
      <c r="A96" s="5">
        <v>45809</v>
      </c>
      <c r="B96" s="80"/>
      <c r="C96" s="80"/>
      <c r="D96" s="20" t="s">
        <v>30</v>
      </c>
      <c r="E96" s="80"/>
      <c r="F96" s="82"/>
      <c r="G96" s="82"/>
      <c r="H96" s="82"/>
      <c r="I96" s="82"/>
      <c r="J96" s="80"/>
      <c r="K96" s="80"/>
      <c r="L96" s="80"/>
      <c r="M96" s="80"/>
      <c r="N96" s="82"/>
      <c r="O96" s="84"/>
      <c r="P96" s="84"/>
      <c r="Q96" s="90"/>
      <c r="R96" s="92"/>
      <c r="S96" s="88"/>
      <c r="T96" s="88"/>
    </row>
    <row r="97" spans="1:20" x14ac:dyDescent="0.25">
      <c r="A97" s="5">
        <v>45839</v>
      </c>
      <c r="B97" s="79">
        <v>11231.77</v>
      </c>
      <c r="C97" s="79">
        <v>1264.5999999999999</v>
      </c>
      <c r="D97" s="20" t="s">
        <v>29</v>
      </c>
      <c r="E97" s="79" t="s">
        <v>21</v>
      </c>
      <c r="F97" s="81">
        <f>870+712</f>
        <v>1582</v>
      </c>
      <c r="G97" s="81">
        <v>2056.1439999999998</v>
      </c>
      <c r="H97" s="81">
        <v>0</v>
      </c>
      <c r="I97" s="81">
        <f>F97-G97</f>
        <v>-474.14399999999978</v>
      </c>
      <c r="J97" s="79"/>
      <c r="K97" s="79">
        <v>0</v>
      </c>
      <c r="L97" s="79"/>
      <c r="M97" s="79"/>
      <c r="N97" s="81">
        <f t="shared" ref="N97:N108" si="36">C97*0.033</f>
        <v>41.7318</v>
      </c>
      <c r="O97" s="83">
        <f>N97*R81</f>
        <v>1114.6563780000001</v>
      </c>
      <c r="P97" s="85">
        <f>N97*S81*2</f>
        <v>2902.864008</v>
      </c>
      <c r="Q97" s="81"/>
      <c r="R97" s="79"/>
      <c r="S97" s="87">
        <f>-(N97*R81)</f>
        <v>-1114.6563780000001</v>
      </c>
      <c r="T97" s="87">
        <f>-(N97*S81)*2</f>
        <v>-2902.864008</v>
      </c>
    </row>
    <row r="98" spans="1:20" x14ac:dyDescent="0.25">
      <c r="A98" s="5">
        <v>45839</v>
      </c>
      <c r="B98" s="80"/>
      <c r="C98" s="80"/>
      <c r="D98" s="20" t="s">
        <v>30</v>
      </c>
      <c r="E98" s="80"/>
      <c r="F98" s="82"/>
      <c r="G98" s="82"/>
      <c r="H98" s="82"/>
      <c r="I98" s="82"/>
      <c r="J98" s="80"/>
      <c r="K98" s="80"/>
      <c r="L98" s="80"/>
      <c r="M98" s="80"/>
      <c r="N98" s="82"/>
      <c r="O98" s="84"/>
      <c r="P98" s="86"/>
      <c r="Q98" s="82"/>
      <c r="R98" s="80"/>
      <c r="S98" s="88"/>
      <c r="T98" s="88"/>
    </row>
    <row r="99" spans="1:20" x14ac:dyDescent="0.25">
      <c r="A99" s="5">
        <v>45870</v>
      </c>
      <c r="B99" s="79">
        <v>11231.77</v>
      </c>
      <c r="C99" s="79">
        <v>1264.5999999999999</v>
      </c>
      <c r="D99" s="20" t="s">
        <v>29</v>
      </c>
      <c r="E99" s="79" t="s">
        <v>21</v>
      </c>
      <c r="F99" s="81">
        <f>1010+791</f>
        <v>1801</v>
      </c>
      <c r="G99" s="81">
        <v>2102.2040000000002</v>
      </c>
      <c r="H99" s="81">
        <v>0</v>
      </c>
      <c r="I99" s="81">
        <f>F99-G99</f>
        <v>-301.20400000000018</v>
      </c>
      <c r="J99" s="79"/>
      <c r="K99" s="79">
        <v>0</v>
      </c>
      <c r="L99" s="79"/>
      <c r="M99" s="79"/>
      <c r="N99" s="81">
        <f t="shared" ref="N99:N108" si="37">C99*0.033</f>
        <v>41.7318</v>
      </c>
      <c r="O99" s="83">
        <f>N99*R81</f>
        <v>1114.6563780000001</v>
      </c>
      <c r="P99" s="85">
        <f>N99*S81*2</f>
        <v>2902.864008</v>
      </c>
      <c r="Q99" s="81"/>
      <c r="R99" s="79"/>
      <c r="S99" s="87">
        <f>-(N99*R81)</f>
        <v>-1114.6563780000001</v>
      </c>
      <c r="T99" s="87">
        <f>-(N99*S81)*2</f>
        <v>-2902.864008</v>
      </c>
    </row>
    <row r="100" spans="1:20" x14ac:dyDescent="0.25">
      <c r="A100" s="5">
        <v>45139</v>
      </c>
      <c r="B100" s="80"/>
      <c r="C100" s="80"/>
      <c r="D100" s="20" t="s">
        <v>30</v>
      </c>
      <c r="E100" s="80"/>
      <c r="F100" s="82"/>
      <c r="G100" s="82"/>
      <c r="H100" s="82"/>
      <c r="I100" s="82"/>
      <c r="J100" s="80"/>
      <c r="K100" s="80"/>
      <c r="L100" s="80"/>
      <c r="M100" s="80"/>
      <c r="N100" s="82"/>
      <c r="O100" s="84"/>
      <c r="P100" s="86"/>
      <c r="Q100" s="82"/>
      <c r="R100" s="80"/>
      <c r="S100" s="88"/>
      <c r="T100" s="88"/>
    </row>
    <row r="101" spans="1:20" x14ac:dyDescent="0.25">
      <c r="A101" s="5">
        <v>45901</v>
      </c>
      <c r="B101" s="79">
        <v>11231.77</v>
      </c>
      <c r="C101" s="79">
        <v>1264.5999999999999</v>
      </c>
      <c r="D101" s="20" t="s">
        <v>29</v>
      </c>
      <c r="E101" s="79" t="s">
        <v>21</v>
      </c>
      <c r="F101" s="81">
        <f>1051+792</f>
        <v>1843</v>
      </c>
      <c r="G101" s="81">
        <v>2145.5619999999999</v>
      </c>
      <c r="H101" s="81">
        <v>0</v>
      </c>
      <c r="I101" s="81">
        <f>F101-G101</f>
        <v>-302.5619999999999</v>
      </c>
      <c r="J101" s="79"/>
      <c r="K101" s="79">
        <v>0</v>
      </c>
      <c r="L101" s="79"/>
      <c r="M101" s="79"/>
      <c r="N101" s="81">
        <f t="shared" ref="N101:N108" si="38">C101*0.033</f>
        <v>41.7318</v>
      </c>
      <c r="O101" s="83">
        <f>N101*R81</f>
        <v>1114.6563780000001</v>
      </c>
      <c r="P101" s="85">
        <f>N101*S81*2</f>
        <v>2902.864008</v>
      </c>
      <c r="Q101" s="81"/>
      <c r="R101" s="79"/>
      <c r="S101" s="87">
        <f>-(N101*R81)</f>
        <v>-1114.6563780000001</v>
      </c>
      <c r="T101" s="87">
        <f>-(N101*S81)*2</f>
        <v>-2902.864008</v>
      </c>
    </row>
    <row r="102" spans="1:20" x14ac:dyDescent="0.25">
      <c r="A102" s="5">
        <v>45170</v>
      </c>
      <c r="B102" s="80"/>
      <c r="C102" s="80"/>
      <c r="D102" s="20" t="s">
        <v>30</v>
      </c>
      <c r="E102" s="80"/>
      <c r="F102" s="82"/>
      <c r="G102" s="82"/>
      <c r="H102" s="82"/>
      <c r="I102" s="82"/>
      <c r="J102" s="80"/>
      <c r="K102" s="80"/>
      <c r="L102" s="80"/>
      <c r="M102" s="80"/>
      <c r="N102" s="82"/>
      <c r="O102" s="84"/>
      <c r="P102" s="86"/>
      <c r="Q102" s="82"/>
      <c r="R102" s="80"/>
      <c r="S102" s="88"/>
      <c r="T102" s="88"/>
    </row>
    <row r="103" spans="1:20" x14ac:dyDescent="0.25">
      <c r="A103" s="5">
        <v>45931</v>
      </c>
      <c r="B103" s="79">
        <v>11231.77</v>
      </c>
      <c r="C103" s="79">
        <v>1264.5999999999999</v>
      </c>
      <c r="D103" s="20" t="s">
        <v>29</v>
      </c>
      <c r="E103" s="79" t="s">
        <v>21</v>
      </c>
      <c r="F103" s="81">
        <f>997+753</f>
        <v>1750</v>
      </c>
      <c r="G103" s="81">
        <v>2185.567</v>
      </c>
      <c r="H103" s="81">
        <v>0</v>
      </c>
      <c r="I103" s="81">
        <f>F103-G103</f>
        <v>-435.56700000000001</v>
      </c>
      <c r="J103" s="79"/>
      <c r="K103" s="79">
        <v>0</v>
      </c>
      <c r="L103" s="79"/>
      <c r="M103" s="79"/>
      <c r="N103" s="81">
        <f t="shared" ref="N103:N108" si="39">C103*0.033</f>
        <v>41.7318</v>
      </c>
      <c r="O103" s="83">
        <f>N103*R81</f>
        <v>1114.6563780000001</v>
      </c>
      <c r="P103" s="85">
        <f>N103*S81*2</f>
        <v>2902.864008</v>
      </c>
      <c r="Q103" s="81"/>
      <c r="R103" s="79"/>
      <c r="S103" s="87">
        <f>-(N103*R81)</f>
        <v>-1114.6563780000001</v>
      </c>
      <c r="T103" s="87">
        <f>-(N103*S81)*2</f>
        <v>-2902.864008</v>
      </c>
    </row>
    <row r="104" spans="1:20" x14ac:dyDescent="0.25">
      <c r="A104" s="5">
        <v>45931</v>
      </c>
      <c r="B104" s="80"/>
      <c r="C104" s="80"/>
      <c r="D104" s="20" t="s">
        <v>30</v>
      </c>
      <c r="E104" s="80"/>
      <c r="F104" s="82"/>
      <c r="G104" s="82"/>
      <c r="H104" s="82"/>
      <c r="I104" s="82"/>
      <c r="J104" s="80"/>
      <c r="K104" s="80"/>
      <c r="L104" s="80"/>
      <c r="M104" s="80"/>
      <c r="N104" s="82"/>
      <c r="O104" s="84"/>
      <c r="P104" s="86"/>
      <c r="Q104" s="82"/>
      <c r="R104" s="80"/>
      <c r="S104" s="88"/>
      <c r="T104" s="88"/>
    </row>
    <row r="105" spans="1:20" x14ac:dyDescent="0.25">
      <c r="A105" s="5">
        <v>45962</v>
      </c>
      <c r="B105" s="79">
        <v>11231.77</v>
      </c>
      <c r="C105" s="79">
        <v>1264.5999999999999</v>
      </c>
      <c r="D105" s="20" t="s">
        <v>29</v>
      </c>
      <c r="E105" s="79" t="s">
        <v>21</v>
      </c>
      <c r="F105" s="81">
        <f>1165+830</f>
        <v>1995</v>
      </c>
      <c r="G105" s="81">
        <v>2140.038</v>
      </c>
      <c r="H105" s="81">
        <v>0</v>
      </c>
      <c r="I105" s="81">
        <f>F105-G105</f>
        <v>-145.03800000000001</v>
      </c>
      <c r="J105" s="79"/>
      <c r="K105" s="79">
        <v>0</v>
      </c>
      <c r="L105" s="79"/>
      <c r="M105" s="79"/>
      <c r="N105" s="81">
        <f t="shared" ref="N105:N108" si="40">C105*0.033</f>
        <v>41.7318</v>
      </c>
      <c r="O105" s="83">
        <f>N105*R81</f>
        <v>1114.6563780000001</v>
      </c>
      <c r="P105" s="85">
        <f>N105*S81*2</f>
        <v>2902.864008</v>
      </c>
      <c r="Q105" s="81"/>
      <c r="R105" s="79"/>
      <c r="S105" s="87">
        <f>-(N105*R81)</f>
        <v>-1114.6563780000001</v>
      </c>
      <c r="T105" s="87">
        <f>-(N105*S81)*2</f>
        <v>-2902.864008</v>
      </c>
    </row>
    <row r="106" spans="1:20" x14ac:dyDescent="0.25">
      <c r="A106" s="5">
        <v>45962</v>
      </c>
      <c r="B106" s="80"/>
      <c r="C106" s="80"/>
      <c r="D106" s="20" t="s">
        <v>30</v>
      </c>
      <c r="E106" s="80"/>
      <c r="F106" s="82"/>
      <c r="G106" s="82"/>
      <c r="H106" s="82"/>
      <c r="I106" s="82"/>
      <c r="J106" s="80"/>
      <c r="K106" s="80"/>
      <c r="L106" s="80"/>
      <c r="M106" s="80"/>
      <c r="N106" s="82"/>
      <c r="O106" s="84"/>
      <c r="P106" s="86"/>
      <c r="Q106" s="82"/>
      <c r="R106" s="80"/>
      <c r="S106" s="88"/>
      <c r="T106" s="88"/>
    </row>
    <row r="107" spans="1:20" x14ac:dyDescent="0.25">
      <c r="A107" s="5">
        <v>45992</v>
      </c>
      <c r="B107" s="79">
        <v>11231.77</v>
      </c>
      <c r="C107" s="79">
        <v>1264.5999999999999</v>
      </c>
      <c r="D107" s="20" t="s">
        <v>29</v>
      </c>
      <c r="E107" s="79" t="s">
        <v>21</v>
      </c>
      <c r="F107" s="81">
        <f>950+724</f>
        <v>1674</v>
      </c>
      <c r="G107" s="81">
        <v>2146.7339999999999</v>
      </c>
      <c r="H107" s="81">
        <v>0</v>
      </c>
      <c r="I107" s="81">
        <f>F107-G107</f>
        <v>-472.73399999999992</v>
      </c>
      <c r="J107" s="79"/>
      <c r="K107" s="79">
        <v>0</v>
      </c>
      <c r="L107" s="79"/>
      <c r="M107" s="79"/>
      <c r="N107" s="81">
        <f>C107*0.033</f>
        <v>41.7318</v>
      </c>
      <c r="O107" s="83">
        <f>N107*R81</f>
        <v>1114.6563780000001</v>
      </c>
      <c r="P107" s="85">
        <f>N107*S81*2</f>
        <v>2902.864008</v>
      </c>
      <c r="Q107" s="81"/>
      <c r="R107" s="79"/>
      <c r="S107" s="87">
        <f>-(N107*R81)</f>
        <v>-1114.6563780000001</v>
      </c>
      <c r="T107" s="87">
        <f>-(N107*S81)*2</f>
        <v>-2902.864008</v>
      </c>
    </row>
    <row r="108" spans="1:20" x14ac:dyDescent="0.25">
      <c r="A108" s="5">
        <v>45992</v>
      </c>
      <c r="B108" s="80"/>
      <c r="C108" s="80"/>
      <c r="D108" s="20" t="s">
        <v>30</v>
      </c>
      <c r="E108" s="80"/>
      <c r="F108" s="82"/>
      <c r="G108" s="82"/>
      <c r="H108" s="82"/>
      <c r="I108" s="82"/>
      <c r="J108" s="80"/>
      <c r="K108" s="80"/>
      <c r="L108" s="80"/>
      <c r="M108" s="80"/>
      <c r="N108" s="82"/>
      <c r="O108" s="84"/>
      <c r="P108" s="86"/>
      <c r="Q108" s="82"/>
      <c r="R108" s="80"/>
      <c r="S108" s="88"/>
      <c r="T108" s="88"/>
    </row>
    <row r="109" spans="1:20" x14ac:dyDescent="0.25">
      <c r="A109" s="62"/>
      <c r="N109" s="60">
        <f>SUM(N85:N108)</f>
        <v>500.78160000000008</v>
      </c>
      <c r="S109" s="51">
        <f>SUM(S85:S108)</f>
        <v>-12562.106435999998</v>
      </c>
      <c r="T109" s="51">
        <f>SUM(T85:T108)</f>
        <v>-57534.380705999974</v>
      </c>
    </row>
    <row r="110" spans="1:20" x14ac:dyDescent="0.25">
      <c r="A110" s="62"/>
      <c r="R110" s="41" t="s">
        <v>41</v>
      </c>
      <c r="T110" s="41"/>
    </row>
    <row r="111" spans="1:20" x14ac:dyDescent="0.25">
      <c r="A111" s="62"/>
      <c r="R111" s="41"/>
      <c r="S111" s="41"/>
      <c r="T111" s="42">
        <f>S109+T109</f>
        <v>-70096.487141999969</v>
      </c>
    </row>
    <row r="112" spans="1:20" x14ac:dyDescent="0.25">
      <c r="A112" s="62"/>
    </row>
  </sheetData>
  <sheetProtection algorithmName="SHA-512" hashValue="5diaSS/0NHugRj2GlFiHmEj6hCp84do0auQxXSViYR/ucR7W9nj4MCObYFJcOR76CtAebbHVP/WU7RDYO9HikQ==" saltValue="5C/LJ/9mJEfE8paZ61auVw==" spinCount="100000" sheet="1" objects="1" scenarios="1" selectLockedCells="1" selectUnlockedCells="1"/>
  <mergeCells count="761">
    <mergeCell ref="O50:O51"/>
    <mergeCell ref="P50:P51"/>
    <mergeCell ref="Q50:Q51"/>
    <mergeCell ref="R50:R51"/>
    <mergeCell ref="S50:S51"/>
    <mergeCell ref="T50:T51"/>
    <mergeCell ref="S8:S9"/>
    <mergeCell ref="S10:S11"/>
    <mergeCell ref="S12:S13"/>
    <mergeCell ref="S14:S15"/>
    <mergeCell ref="R8:R9"/>
    <mergeCell ref="R14:R15"/>
    <mergeCell ref="R12:R13"/>
    <mergeCell ref="P19:P20"/>
    <mergeCell ref="Q19:Q20"/>
    <mergeCell ref="P21:P22"/>
    <mergeCell ref="Q21:Q22"/>
    <mergeCell ref="R21:R22"/>
    <mergeCell ref="S21:S22"/>
    <mergeCell ref="T21:T22"/>
    <mergeCell ref="R19:R20"/>
    <mergeCell ref="S19:S20"/>
    <mergeCell ref="T19:T20"/>
    <mergeCell ref="P25:P26"/>
    <mergeCell ref="A1:P1"/>
    <mergeCell ref="L14:L15"/>
    <mergeCell ref="M14:M15"/>
    <mergeCell ref="N14:N15"/>
    <mergeCell ref="O14:O15"/>
    <mergeCell ref="J8:K9"/>
    <mergeCell ref="O10:O11"/>
    <mergeCell ref="H10:H11"/>
    <mergeCell ref="N10:N11"/>
    <mergeCell ref="L10:L11"/>
    <mergeCell ref="M10:M11"/>
    <mergeCell ref="H8:H9"/>
    <mergeCell ref="P10:P11"/>
    <mergeCell ref="P12:P13"/>
    <mergeCell ref="P14:P15"/>
    <mergeCell ref="B8:B9"/>
    <mergeCell ref="C8:C9"/>
    <mergeCell ref="E8:E9"/>
    <mergeCell ref="F8:F9"/>
    <mergeCell ref="B14:B15"/>
    <mergeCell ref="C14:C15"/>
    <mergeCell ref="E14:E15"/>
    <mergeCell ref="F14:F15"/>
    <mergeCell ref="G14:G15"/>
    <mergeCell ref="H14:H15"/>
    <mergeCell ref="J14:J15"/>
    <mergeCell ref="O12:O13"/>
    <mergeCell ref="Q10:Q11"/>
    <mergeCell ref="R10:R11"/>
    <mergeCell ref="B10:B11"/>
    <mergeCell ref="C10:C11"/>
    <mergeCell ref="E10:E11"/>
    <mergeCell ref="F10:F11"/>
    <mergeCell ref="G10:G11"/>
    <mergeCell ref="B12:B13"/>
    <mergeCell ref="C12:C13"/>
    <mergeCell ref="E12:E13"/>
    <mergeCell ref="F12:F13"/>
    <mergeCell ref="G12:G13"/>
    <mergeCell ref="G8:G9"/>
    <mergeCell ref="J5:K5"/>
    <mergeCell ref="L5:L6"/>
    <mergeCell ref="L8:L9"/>
    <mergeCell ref="M8:M9"/>
    <mergeCell ref="N8:N9"/>
    <mergeCell ref="M5:M6"/>
    <mergeCell ref="N5:N6"/>
    <mergeCell ref="H12:H13"/>
    <mergeCell ref="J12:J13"/>
    <mergeCell ref="J10:J11"/>
    <mergeCell ref="K10:K11"/>
    <mergeCell ref="F5:F6"/>
    <mergeCell ref="G5:G6"/>
    <mergeCell ref="H5:H6"/>
    <mergeCell ref="E5:E6"/>
    <mergeCell ref="H3:M3"/>
    <mergeCell ref="H4:M4"/>
    <mergeCell ref="A3:D3"/>
    <mergeCell ref="A5:A6"/>
    <mergeCell ref="B5:B6"/>
    <mergeCell ref="C5:C6"/>
    <mergeCell ref="D5:D6"/>
    <mergeCell ref="S5:S6"/>
    <mergeCell ref="T5:T6"/>
    <mergeCell ref="I14:I15"/>
    <mergeCell ref="Q12:Q13"/>
    <mergeCell ref="Q14:Q15"/>
    <mergeCell ref="I12:I13"/>
    <mergeCell ref="I8:I9"/>
    <mergeCell ref="I10:I11"/>
    <mergeCell ref="O8:O9"/>
    <mergeCell ref="Q8:Q9"/>
    <mergeCell ref="K14:K15"/>
    <mergeCell ref="K12:K13"/>
    <mergeCell ref="L12:L13"/>
    <mergeCell ref="M12:M13"/>
    <mergeCell ref="N12:N13"/>
    <mergeCell ref="I5:I6"/>
    <mergeCell ref="O5:O6"/>
    <mergeCell ref="Q5:R5"/>
    <mergeCell ref="P5:P6"/>
    <mergeCell ref="P8:P9"/>
    <mergeCell ref="T8:T9"/>
    <mergeCell ref="T10:T11"/>
    <mergeCell ref="T12:T13"/>
    <mergeCell ref="T14:T15"/>
    <mergeCell ref="H19:H20"/>
    <mergeCell ref="I19:I20"/>
    <mergeCell ref="J19:J20"/>
    <mergeCell ref="K19:K20"/>
    <mergeCell ref="L19:L20"/>
    <mergeCell ref="B19:B20"/>
    <mergeCell ref="C19:C20"/>
    <mergeCell ref="E19:E20"/>
    <mergeCell ref="F19:F20"/>
    <mergeCell ref="G19:G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M19:M20"/>
    <mergeCell ref="N19:N20"/>
    <mergeCell ref="O19:O20"/>
    <mergeCell ref="P23:P24"/>
    <mergeCell ref="Q23:Q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Q25:Q26"/>
    <mergeCell ref="R25:R26"/>
    <mergeCell ref="S25:S26"/>
    <mergeCell ref="T25:T26"/>
    <mergeCell ref="R23:R24"/>
    <mergeCell ref="S23:S24"/>
    <mergeCell ref="T23:T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M23:M24"/>
    <mergeCell ref="N23:N24"/>
    <mergeCell ref="O23:O24"/>
    <mergeCell ref="H23:H24"/>
    <mergeCell ref="P27:P28"/>
    <mergeCell ref="Q27:Q28"/>
    <mergeCell ref="H27:H28"/>
    <mergeCell ref="I27:I28"/>
    <mergeCell ref="J27:J28"/>
    <mergeCell ref="K27:K28"/>
    <mergeCell ref="L27:L28"/>
    <mergeCell ref="B27:B28"/>
    <mergeCell ref="C27:C28"/>
    <mergeCell ref="E27:E28"/>
    <mergeCell ref="F27:F28"/>
    <mergeCell ref="G27:G28"/>
    <mergeCell ref="P29:P30"/>
    <mergeCell ref="Q29:Q30"/>
    <mergeCell ref="R29:R30"/>
    <mergeCell ref="S29:S30"/>
    <mergeCell ref="T29:T30"/>
    <mergeCell ref="R27:R28"/>
    <mergeCell ref="S27:S28"/>
    <mergeCell ref="T27:T28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M27:M28"/>
    <mergeCell ref="N27:N28"/>
    <mergeCell ref="O27:O28"/>
    <mergeCell ref="P31:P32"/>
    <mergeCell ref="Q31:Q32"/>
    <mergeCell ref="H31:H32"/>
    <mergeCell ref="I31:I32"/>
    <mergeCell ref="J31:J32"/>
    <mergeCell ref="K31:K32"/>
    <mergeCell ref="L31:L32"/>
    <mergeCell ref="B31:B32"/>
    <mergeCell ref="C31:C32"/>
    <mergeCell ref="E31:E32"/>
    <mergeCell ref="F31:F32"/>
    <mergeCell ref="G31:G32"/>
    <mergeCell ref="P33:P34"/>
    <mergeCell ref="Q33:Q34"/>
    <mergeCell ref="R33:R34"/>
    <mergeCell ref="S33:S34"/>
    <mergeCell ref="T33:T34"/>
    <mergeCell ref="R31:R32"/>
    <mergeCell ref="S31:S32"/>
    <mergeCell ref="T31:T32"/>
    <mergeCell ref="B33:B34"/>
    <mergeCell ref="C33:C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M31:M32"/>
    <mergeCell ref="N31:N32"/>
    <mergeCell ref="O31:O32"/>
    <mergeCell ref="P35:P36"/>
    <mergeCell ref="Q35:Q36"/>
    <mergeCell ref="H35:H36"/>
    <mergeCell ref="I35:I36"/>
    <mergeCell ref="J35:J36"/>
    <mergeCell ref="K35:K36"/>
    <mergeCell ref="L35:L36"/>
    <mergeCell ref="B35:B36"/>
    <mergeCell ref="C35:C36"/>
    <mergeCell ref="E35:E36"/>
    <mergeCell ref="F35:F36"/>
    <mergeCell ref="G35:G36"/>
    <mergeCell ref="P37:P38"/>
    <mergeCell ref="Q37:Q38"/>
    <mergeCell ref="R37:R38"/>
    <mergeCell ref="S37:S38"/>
    <mergeCell ref="T37:T38"/>
    <mergeCell ref="R35:R36"/>
    <mergeCell ref="S35:S36"/>
    <mergeCell ref="T35:T36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M35:M36"/>
    <mergeCell ref="N35:N36"/>
    <mergeCell ref="O35:O36"/>
    <mergeCell ref="P39:P40"/>
    <mergeCell ref="Q39:Q40"/>
    <mergeCell ref="H39:H40"/>
    <mergeCell ref="I39:I40"/>
    <mergeCell ref="J39:J40"/>
    <mergeCell ref="K39:K40"/>
    <mergeCell ref="L39:L40"/>
    <mergeCell ref="B39:B40"/>
    <mergeCell ref="C39:C40"/>
    <mergeCell ref="E39:E40"/>
    <mergeCell ref="F39:F40"/>
    <mergeCell ref="G39:G40"/>
    <mergeCell ref="P41:P42"/>
    <mergeCell ref="Q41:Q42"/>
    <mergeCell ref="R41:R42"/>
    <mergeCell ref="S41:S42"/>
    <mergeCell ref="T41:T42"/>
    <mergeCell ref="R39:R40"/>
    <mergeCell ref="S39:S40"/>
    <mergeCell ref="T39:T40"/>
    <mergeCell ref="B41:B42"/>
    <mergeCell ref="C41:C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M39:M40"/>
    <mergeCell ref="N39:N40"/>
    <mergeCell ref="O39:O40"/>
    <mergeCell ref="L50:L51"/>
    <mergeCell ref="M50:M51"/>
    <mergeCell ref="N50:N51"/>
    <mergeCell ref="B52:B53"/>
    <mergeCell ref="C52:C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B50:B51"/>
    <mergeCell ref="C50:C51"/>
    <mergeCell ref="E50:E51"/>
    <mergeCell ref="F50:F51"/>
    <mergeCell ref="G50:G51"/>
    <mergeCell ref="H50:H51"/>
    <mergeCell ref="I50:I51"/>
    <mergeCell ref="J50:J51"/>
    <mergeCell ref="K50:K51"/>
    <mergeCell ref="O52:O53"/>
    <mergeCell ref="P52:P53"/>
    <mergeCell ref="Q52:Q53"/>
    <mergeCell ref="R52:R53"/>
    <mergeCell ref="S52:S53"/>
    <mergeCell ref="T52:T53"/>
    <mergeCell ref="B54:B55"/>
    <mergeCell ref="C54:C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B58:B59"/>
    <mergeCell ref="C58:C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B62:B63"/>
    <mergeCell ref="C62:C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B64:B65"/>
    <mergeCell ref="C64:C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B66:B67"/>
    <mergeCell ref="C66:C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B68:B69"/>
    <mergeCell ref="C68:C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B70:B71"/>
    <mergeCell ref="C70:C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B72:B73"/>
    <mergeCell ref="C72:C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A81:D81"/>
    <mergeCell ref="H81:M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K82"/>
    <mergeCell ref="L82:L83"/>
    <mergeCell ref="M82:M83"/>
    <mergeCell ref="N82:N83"/>
    <mergeCell ref="O82:O83"/>
    <mergeCell ref="P82:P83"/>
    <mergeCell ref="Q82:R82"/>
    <mergeCell ref="S82:S83"/>
    <mergeCell ref="T82:T83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5:P86"/>
    <mergeCell ref="Q85:Q86"/>
    <mergeCell ref="R85:R86"/>
    <mergeCell ref="S85:S86"/>
    <mergeCell ref="T85:T86"/>
    <mergeCell ref="B87:B88"/>
    <mergeCell ref="C87:C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T87:T88"/>
    <mergeCell ref="B89:B90"/>
    <mergeCell ref="C89:C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B91:B92"/>
    <mergeCell ref="C91:C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B93:B94"/>
    <mergeCell ref="C93:C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S93:S94"/>
    <mergeCell ref="T93:T94"/>
    <mergeCell ref="B95:B96"/>
    <mergeCell ref="C95:C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P95:P96"/>
    <mergeCell ref="Q95:Q96"/>
    <mergeCell ref="R95:R96"/>
    <mergeCell ref="S95:S96"/>
    <mergeCell ref="T95:T96"/>
    <mergeCell ref="B97:B98"/>
    <mergeCell ref="C97:C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97:P98"/>
    <mergeCell ref="Q97:Q98"/>
    <mergeCell ref="R97:R98"/>
    <mergeCell ref="S97:S98"/>
    <mergeCell ref="T97:T98"/>
    <mergeCell ref="B99:B100"/>
    <mergeCell ref="C99:C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S100"/>
    <mergeCell ref="T99:T100"/>
    <mergeCell ref="B101:B102"/>
    <mergeCell ref="C101:C102"/>
    <mergeCell ref="E101:E102"/>
    <mergeCell ref="F101:F102"/>
    <mergeCell ref="G101:G102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P101:P102"/>
    <mergeCell ref="Q101:Q102"/>
    <mergeCell ref="R101:R102"/>
    <mergeCell ref="S101:S102"/>
    <mergeCell ref="T101:T102"/>
    <mergeCell ref="B103:B104"/>
    <mergeCell ref="C103:C104"/>
    <mergeCell ref="E103:E104"/>
    <mergeCell ref="F103:F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Q103:Q104"/>
    <mergeCell ref="R103:R104"/>
    <mergeCell ref="S103:S104"/>
    <mergeCell ref="T103:T104"/>
    <mergeCell ref="B105:B106"/>
    <mergeCell ref="C105:C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S105:S106"/>
    <mergeCell ref="T105:T106"/>
    <mergeCell ref="B107:B108"/>
    <mergeCell ref="C107:C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S107:S108"/>
    <mergeCell ref="T107:T108"/>
  </mergeCells>
  <pageMargins left="0.25" right="0.25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opLeftCell="A50" zoomScale="70" zoomScaleNormal="70" workbookViewId="0">
      <selection activeCell="O79" sqref="O79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2" hidden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2" hidden="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58" t="s">
        <v>21</v>
      </c>
      <c r="R2" s="58" t="s">
        <v>33</v>
      </c>
    </row>
    <row r="3" spans="1:22" ht="18.75" hidden="1" x14ac:dyDescent="0.25">
      <c r="A3" s="68" t="s">
        <v>15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  <c r="Q3" s="59">
        <v>21.16</v>
      </c>
      <c r="R3" s="57">
        <v>29.02</v>
      </c>
    </row>
    <row r="4" spans="1:22" hidden="1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  <c r="Q4" s="57">
        <v>23.46</v>
      </c>
      <c r="R4" s="57">
        <v>31.01</v>
      </c>
    </row>
    <row r="5" spans="1:22" ht="83.25" hidden="1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2" ht="92.25" hidden="1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2" hidden="1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2" ht="30.75" hidden="1" customHeight="1" x14ac:dyDescent="0.25">
      <c r="A8" s="5">
        <v>44805</v>
      </c>
      <c r="B8" s="8">
        <v>3907.2</v>
      </c>
      <c r="C8" s="8">
        <v>280</v>
      </c>
      <c r="D8" s="20" t="s">
        <v>31</v>
      </c>
      <c r="E8" s="8" t="s">
        <v>21</v>
      </c>
      <c r="F8" s="16">
        <v>658</v>
      </c>
      <c r="G8" s="16">
        <v>471.87299999999999</v>
      </c>
      <c r="H8" s="16"/>
      <c r="I8" s="16">
        <f t="shared" ref="I8:I11" si="0">F8-(G8+H8)</f>
        <v>186.12700000000001</v>
      </c>
      <c r="J8" s="72" t="s">
        <v>45</v>
      </c>
      <c r="K8" s="73"/>
      <c r="L8" s="8"/>
      <c r="M8" s="8"/>
      <c r="N8" s="16">
        <v>8.9610000000000003</v>
      </c>
      <c r="O8" s="9">
        <f>N8*O3</f>
        <v>158.07204000000002</v>
      </c>
      <c r="P8" s="9">
        <f>N8*P3</f>
        <v>241.31972999999999</v>
      </c>
      <c r="Q8" s="33">
        <f>N8</f>
        <v>8.9610000000000003</v>
      </c>
      <c r="R8" s="16"/>
      <c r="S8" s="36">
        <f>-(Q8*O3)</f>
        <v>-158.07204000000002</v>
      </c>
      <c r="T8" s="36">
        <f>-(Q8*P3)</f>
        <v>-241.31972999999999</v>
      </c>
    </row>
    <row r="9" spans="1:22" hidden="1" x14ac:dyDescent="0.25">
      <c r="A9" s="5">
        <v>44835</v>
      </c>
      <c r="B9" s="8">
        <v>3907.2</v>
      </c>
      <c r="C9" s="8">
        <v>280</v>
      </c>
      <c r="D9" s="20" t="s">
        <v>31</v>
      </c>
      <c r="E9" s="8" t="s">
        <v>21</v>
      </c>
      <c r="F9" s="16">
        <v>546</v>
      </c>
      <c r="G9" s="16">
        <v>646.33199999999999</v>
      </c>
      <c r="H9" s="16"/>
      <c r="I9" s="16">
        <f t="shared" si="0"/>
        <v>-100.33199999999999</v>
      </c>
      <c r="J9" s="7"/>
      <c r="K9" s="6">
        <v>0</v>
      </c>
      <c r="L9" s="13"/>
      <c r="M9" s="13"/>
      <c r="N9" s="16">
        <v>8.9610000000000003</v>
      </c>
      <c r="O9" s="9">
        <f>N9*O3</f>
        <v>158.07204000000002</v>
      </c>
      <c r="P9" s="9">
        <f>N9*P3</f>
        <v>241.31972999999999</v>
      </c>
      <c r="Q9" s="50">
        <f>N9</f>
        <v>8.9610000000000003</v>
      </c>
      <c r="R9" s="7"/>
      <c r="S9" s="36">
        <f>-(Q9*O3)</f>
        <v>-158.07204000000002</v>
      </c>
      <c r="T9" s="36">
        <f>-(Q9*P3)</f>
        <v>-241.31972999999999</v>
      </c>
    </row>
    <row r="10" spans="1:22" hidden="1" x14ac:dyDescent="0.25">
      <c r="A10" s="5">
        <v>44866</v>
      </c>
      <c r="B10" s="8">
        <v>3907.2</v>
      </c>
      <c r="C10" s="8">
        <v>280</v>
      </c>
      <c r="D10" s="20" t="s">
        <v>31</v>
      </c>
      <c r="E10" s="8" t="s">
        <v>21</v>
      </c>
      <c r="F10" s="17">
        <v>584</v>
      </c>
      <c r="G10" s="17">
        <v>631.976</v>
      </c>
      <c r="H10" s="22"/>
      <c r="I10" s="16">
        <f t="shared" si="0"/>
        <v>-47.975999999999999</v>
      </c>
      <c r="J10" s="7"/>
      <c r="K10" s="6">
        <v>0</v>
      </c>
      <c r="L10" s="7"/>
      <c r="M10" s="7"/>
      <c r="N10" s="16">
        <v>8.9610000000000003</v>
      </c>
      <c r="O10" s="9">
        <f>N10*O3</f>
        <v>158.07204000000002</v>
      </c>
      <c r="P10" s="9">
        <f>N10*P3</f>
        <v>241.31972999999999</v>
      </c>
      <c r="Q10" s="50">
        <f t="shared" ref="Q10:Q11" si="1">N10</f>
        <v>8.9610000000000003</v>
      </c>
      <c r="R10" s="7"/>
      <c r="S10" s="36">
        <f>-(Q10*O3)</f>
        <v>-158.07204000000002</v>
      </c>
      <c r="T10" s="36">
        <f>-(Q10*P3)</f>
        <v>-241.31972999999999</v>
      </c>
    </row>
    <row r="11" spans="1:22" hidden="1" x14ac:dyDescent="0.25">
      <c r="A11" s="5">
        <v>44896</v>
      </c>
      <c r="B11" s="6">
        <v>3907.2</v>
      </c>
      <c r="C11" s="6">
        <v>280</v>
      </c>
      <c r="D11" s="20" t="s">
        <v>31</v>
      </c>
      <c r="E11" s="6" t="s">
        <v>21</v>
      </c>
      <c r="F11" s="17">
        <v>603</v>
      </c>
      <c r="G11" s="17">
        <v>618.37599999999998</v>
      </c>
      <c r="H11" s="22"/>
      <c r="I11" s="17">
        <f t="shared" si="0"/>
        <v>-15.375999999999976</v>
      </c>
      <c r="J11" s="7"/>
      <c r="K11" s="6">
        <v>0</v>
      </c>
      <c r="L11" s="7"/>
      <c r="M11" s="7"/>
      <c r="N11" s="17">
        <v>8.9610000000000003</v>
      </c>
      <c r="O11" s="11">
        <f>N11*O4</f>
        <v>189.61476000000002</v>
      </c>
      <c r="P11" s="11">
        <f>N11*P4</f>
        <v>260.04822000000001</v>
      </c>
      <c r="Q11" s="50">
        <f t="shared" si="1"/>
        <v>8.9610000000000003</v>
      </c>
      <c r="R11" s="7"/>
      <c r="S11" s="36">
        <f>-(Q11*O4)</f>
        <v>-189.61476000000002</v>
      </c>
      <c r="T11" s="36">
        <f>-(Q11*P4)</f>
        <v>-260.04822000000001</v>
      </c>
    </row>
    <row r="12" spans="1:22" hidden="1" x14ac:dyDescent="0.25">
      <c r="B12" s="1"/>
      <c r="C12" s="1"/>
      <c r="N12" s="38" t="s">
        <v>46</v>
      </c>
      <c r="O12" s="39">
        <f>SUM(O8:O11)</f>
        <v>663.83088000000009</v>
      </c>
      <c r="P12" s="39">
        <f>SUM(P8:P11)</f>
        <v>984.00741000000005</v>
      </c>
      <c r="Q12" s="40"/>
      <c r="R12" s="41"/>
      <c r="S12" s="42">
        <f>SUM(S8:S11)</f>
        <v>-663.83088000000009</v>
      </c>
      <c r="T12" s="42">
        <f>SUM(T8:T11)</f>
        <v>-984.00741000000005</v>
      </c>
      <c r="U12" s="41"/>
      <c r="V12" s="41"/>
    </row>
    <row r="13" spans="1:22" hidden="1" x14ac:dyDescent="0.25">
      <c r="B13" s="1"/>
      <c r="C13" s="1"/>
      <c r="N13" s="41"/>
      <c r="O13" s="41"/>
      <c r="P13" s="41"/>
      <c r="Q13" s="41"/>
      <c r="R13" s="41" t="s">
        <v>41</v>
      </c>
      <c r="T13" s="41"/>
      <c r="U13" s="41"/>
      <c r="V13" s="41"/>
    </row>
    <row r="14" spans="1:22" hidden="1" x14ac:dyDescent="0.25">
      <c r="B14" s="1"/>
      <c r="C14" s="1"/>
      <c r="N14" s="41"/>
      <c r="O14" s="41"/>
      <c r="P14" s="41"/>
      <c r="Q14" s="41"/>
      <c r="R14" s="41"/>
      <c r="S14" s="41"/>
      <c r="T14" s="42">
        <f>T12+S12</f>
        <v>-1647.8382900000001</v>
      </c>
      <c r="U14" s="41"/>
      <c r="V14" s="41"/>
    </row>
    <row r="15" spans="1:22" hidden="1" x14ac:dyDescent="0.25">
      <c r="A15" s="5">
        <v>44927</v>
      </c>
      <c r="B15" s="6">
        <v>3907.2</v>
      </c>
      <c r="C15" s="6">
        <v>280</v>
      </c>
      <c r="D15" s="20" t="s">
        <v>31</v>
      </c>
      <c r="E15" s="6" t="s">
        <v>21</v>
      </c>
      <c r="F15" s="17">
        <v>687</v>
      </c>
      <c r="G15" s="17">
        <v>686.70100000000002</v>
      </c>
      <c r="H15" s="22"/>
      <c r="I15" s="17">
        <f t="shared" ref="I15:I22" si="2">F15-(G15+H15)</f>
        <v>0.29899999999997817</v>
      </c>
      <c r="J15" s="7"/>
      <c r="K15" s="6">
        <v>0</v>
      </c>
      <c r="L15" s="7"/>
      <c r="M15" s="7"/>
      <c r="N15" s="17">
        <v>8.9610000000000003</v>
      </c>
      <c r="O15" s="11">
        <f>N15*O4</f>
        <v>189.61476000000002</v>
      </c>
      <c r="P15" s="11">
        <f>N15*P4</f>
        <v>260.04822000000001</v>
      </c>
      <c r="Q15" s="50">
        <f t="shared" ref="Q15" si="3">N15</f>
        <v>8.9610000000000003</v>
      </c>
      <c r="R15" s="7"/>
      <c r="S15" s="36">
        <f>-(Q15*O4)</f>
        <v>-189.61476000000002</v>
      </c>
      <c r="T15" s="36">
        <f>-(Q15*P4)</f>
        <v>-260.04822000000001</v>
      </c>
    </row>
    <row r="16" spans="1:22" hidden="1" x14ac:dyDescent="0.25">
      <c r="A16" s="5">
        <v>44958</v>
      </c>
      <c r="B16" s="6">
        <v>3907.2</v>
      </c>
      <c r="C16" s="6">
        <v>280</v>
      </c>
      <c r="D16" s="20" t="s">
        <v>31</v>
      </c>
      <c r="E16" s="6" t="s">
        <v>21</v>
      </c>
      <c r="F16" s="17">
        <v>572</v>
      </c>
      <c r="G16" s="17">
        <v>682.06</v>
      </c>
      <c r="H16" s="22"/>
      <c r="I16" s="17">
        <f t="shared" si="2"/>
        <v>-110.05999999999995</v>
      </c>
      <c r="J16" s="7"/>
      <c r="K16" s="6">
        <v>0</v>
      </c>
      <c r="L16" s="7"/>
      <c r="M16" s="7"/>
      <c r="N16" s="17">
        <v>8.9610000000000003</v>
      </c>
      <c r="O16" s="11">
        <f>N16*O4</f>
        <v>189.61476000000002</v>
      </c>
      <c r="P16" s="11">
        <f>N16*P4</f>
        <v>260.04822000000001</v>
      </c>
      <c r="Q16" s="50">
        <f t="shared" ref="Q16:Q26" si="4">N16</f>
        <v>8.9610000000000003</v>
      </c>
      <c r="R16" s="7"/>
      <c r="S16" s="36">
        <f>-(Q16*O4)</f>
        <v>-189.61476000000002</v>
      </c>
      <c r="T16" s="36">
        <f>-(Q16*P4)</f>
        <v>-260.04822000000001</v>
      </c>
      <c r="U16" s="41"/>
      <c r="V16" s="41"/>
    </row>
    <row r="17" spans="1:22" hidden="1" x14ac:dyDescent="0.25">
      <c r="A17" s="5">
        <v>44986</v>
      </c>
      <c r="B17" s="6">
        <v>3907.2</v>
      </c>
      <c r="C17" s="6">
        <v>280</v>
      </c>
      <c r="D17" s="20" t="s">
        <v>31</v>
      </c>
      <c r="E17" s="6" t="s">
        <v>21</v>
      </c>
      <c r="F17" s="17">
        <v>568</v>
      </c>
      <c r="G17" s="17">
        <v>671.827</v>
      </c>
      <c r="H17" s="22"/>
      <c r="I17" s="17">
        <f t="shared" si="2"/>
        <v>-103.827</v>
      </c>
      <c r="J17" s="7"/>
      <c r="K17" s="6">
        <v>0</v>
      </c>
      <c r="L17" s="7"/>
      <c r="M17" s="7"/>
      <c r="N17" s="17">
        <v>8.9610000000000003</v>
      </c>
      <c r="O17" s="11">
        <f>N17*O4</f>
        <v>189.61476000000002</v>
      </c>
      <c r="P17" s="11">
        <f>N17*P4</f>
        <v>260.04822000000001</v>
      </c>
      <c r="Q17" s="50">
        <f t="shared" si="4"/>
        <v>8.9610000000000003</v>
      </c>
      <c r="R17" s="7"/>
      <c r="S17" s="36">
        <f>-(Q17*O4)</f>
        <v>-189.61476000000002</v>
      </c>
      <c r="T17" s="36">
        <f>-(Q17*P4)</f>
        <v>-260.04822000000001</v>
      </c>
      <c r="U17" s="41"/>
      <c r="V17" s="41"/>
    </row>
    <row r="18" spans="1:22" hidden="1" x14ac:dyDescent="0.25">
      <c r="A18" s="5">
        <v>45017</v>
      </c>
      <c r="B18" s="6">
        <v>3907.2</v>
      </c>
      <c r="C18" s="6">
        <v>280</v>
      </c>
      <c r="D18" s="20" t="s">
        <v>31</v>
      </c>
      <c r="E18" s="6" t="s">
        <v>21</v>
      </c>
      <c r="F18" s="17">
        <v>627</v>
      </c>
      <c r="G18" s="17">
        <v>668.678</v>
      </c>
      <c r="H18" s="22"/>
      <c r="I18" s="17">
        <f t="shared" si="2"/>
        <v>-41.677999999999997</v>
      </c>
      <c r="J18" s="7"/>
      <c r="K18" s="6">
        <v>0</v>
      </c>
      <c r="L18" s="7"/>
      <c r="M18" s="7"/>
      <c r="N18" s="17">
        <v>8.9610000000000003</v>
      </c>
      <c r="O18" s="11">
        <f>N18*O4</f>
        <v>189.61476000000002</v>
      </c>
      <c r="P18" s="11">
        <f>N18*P4</f>
        <v>260.04822000000001</v>
      </c>
      <c r="Q18" s="50">
        <f t="shared" si="4"/>
        <v>8.9610000000000003</v>
      </c>
      <c r="R18" s="7"/>
      <c r="S18" s="36">
        <f>-(Q18*O4)</f>
        <v>-189.61476000000002</v>
      </c>
      <c r="T18" s="36">
        <f>-(Q18*P4)</f>
        <v>-260.04822000000001</v>
      </c>
    </row>
    <row r="19" spans="1:22" hidden="1" x14ac:dyDescent="0.25">
      <c r="A19" s="5">
        <v>45047</v>
      </c>
      <c r="B19" s="6">
        <v>3907.2</v>
      </c>
      <c r="C19" s="6">
        <v>280</v>
      </c>
      <c r="D19" s="20" t="s">
        <v>31</v>
      </c>
      <c r="E19" s="6" t="s">
        <v>21</v>
      </c>
      <c r="F19" s="17">
        <v>587</v>
      </c>
      <c r="G19" s="17">
        <v>645.44000000000005</v>
      </c>
      <c r="H19" s="22"/>
      <c r="I19" s="17">
        <f t="shared" si="2"/>
        <v>-58.440000000000055</v>
      </c>
      <c r="J19" s="7"/>
      <c r="K19" s="6">
        <v>0</v>
      </c>
      <c r="L19" s="7"/>
      <c r="M19" s="7"/>
      <c r="N19" s="17">
        <v>8.9610000000000003</v>
      </c>
      <c r="O19" s="11">
        <f>N19*O4</f>
        <v>189.61476000000002</v>
      </c>
      <c r="P19" s="11">
        <f>N19*P4</f>
        <v>260.04822000000001</v>
      </c>
      <c r="Q19" s="50">
        <f t="shared" si="4"/>
        <v>8.9610000000000003</v>
      </c>
      <c r="R19" s="7"/>
      <c r="S19" s="36">
        <f>-(Q19*O4)</f>
        <v>-189.61476000000002</v>
      </c>
      <c r="T19" s="36">
        <f>-(Q19*P4)</f>
        <v>-260.04822000000001</v>
      </c>
    </row>
    <row r="20" spans="1:22" hidden="1" x14ac:dyDescent="0.25">
      <c r="A20" s="5">
        <v>45078</v>
      </c>
      <c r="B20" s="6">
        <v>3907.2</v>
      </c>
      <c r="C20" s="6">
        <v>280</v>
      </c>
      <c r="D20" s="20" t="s">
        <v>31</v>
      </c>
      <c r="E20" s="6" t="s">
        <v>21</v>
      </c>
      <c r="F20" s="17">
        <v>486</v>
      </c>
      <c r="G20" s="17">
        <v>629.99599999999998</v>
      </c>
      <c r="H20" s="22"/>
      <c r="I20" s="17">
        <f t="shared" si="2"/>
        <v>-143.99599999999998</v>
      </c>
      <c r="J20" s="7"/>
      <c r="K20" s="6">
        <v>0</v>
      </c>
      <c r="L20" s="7"/>
      <c r="M20" s="7"/>
      <c r="N20" s="17">
        <v>8.9610000000000003</v>
      </c>
      <c r="O20" s="11">
        <f>N20*O4</f>
        <v>189.61476000000002</v>
      </c>
      <c r="P20" s="11">
        <f>N20*P4</f>
        <v>260.04822000000001</v>
      </c>
      <c r="Q20" s="50">
        <f t="shared" si="4"/>
        <v>8.9610000000000003</v>
      </c>
      <c r="R20" s="7"/>
      <c r="S20" s="36">
        <f>-(Q20*O4)</f>
        <v>-189.61476000000002</v>
      </c>
      <c r="T20" s="36">
        <f>-(Q20*P4)</f>
        <v>-260.04822000000001</v>
      </c>
    </row>
    <row r="21" spans="1:22" hidden="1" x14ac:dyDescent="0.25">
      <c r="A21" s="5">
        <v>45108</v>
      </c>
      <c r="B21" s="6">
        <v>3907.2</v>
      </c>
      <c r="C21" s="6">
        <v>280</v>
      </c>
      <c r="D21" s="20" t="s">
        <v>31</v>
      </c>
      <c r="E21" s="6" t="s">
        <v>21</v>
      </c>
      <c r="F21" s="17">
        <v>520</v>
      </c>
      <c r="G21" s="17">
        <v>634.91399999999999</v>
      </c>
      <c r="H21" s="22"/>
      <c r="I21" s="17">
        <f t="shared" si="2"/>
        <v>-114.91399999999999</v>
      </c>
      <c r="J21" s="7"/>
      <c r="K21" s="6">
        <v>0</v>
      </c>
      <c r="L21" s="7"/>
      <c r="M21" s="7"/>
      <c r="N21" s="17">
        <v>8.9610000000000003</v>
      </c>
      <c r="O21" s="11">
        <f>N21*O4</f>
        <v>189.61476000000002</v>
      </c>
      <c r="P21" s="11">
        <f>N21*P4</f>
        <v>260.04822000000001</v>
      </c>
      <c r="Q21" s="50">
        <f t="shared" si="4"/>
        <v>8.9610000000000003</v>
      </c>
      <c r="R21" s="7"/>
      <c r="S21" s="36">
        <f>-(Q21*O4)</f>
        <v>-189.61476000000002</v>
      </c>
      <c r="T21" s="36">
        <f>-(Q21*P4)</f>
        <v>-260.04822000000001</v>
      </c>
    </row>
    <row r="22" spans="1:22" hidden="1" x14ac:dyDescent="0.25">
      <c r="A22" s="5">
        <v>45139</v>
      </c>
      <c r="B22" s="6">
        <v>3907.2</v>
      </c>
      <c r="C22" s="6">
        <v>280</v>
      </c>
      <c r="D22" s="20" t="s">
        <v>31</v>
      </c>
      <c r="E22" s="6" t="s">
        <v>21</v>
      </c>
      <c r="F22" s="17">
        <v>675</v>
      </c>
      <c r="G22" s="17">
        <v>507.79199999999997</v>
      </c>
      <c r="H22" s="22"/>
      <c r="I22" s="17">
        <f t="shared" si="2"/>
        <v>167.20800000000003</v>
      </c>
      <c r="J22" s="7"/>
      <c r="K22" s="6">
        <v>0</v>
      </c>
      <c r="L22" s="7"/>
      <c r="M22" s="7"/>
      <c r="N22" s="17">
        <v>8.9610000000000003</v>
      </c>
      <c r="O22" s="11">
        <f>N22*O4</f>
        <v>189.61476000000002</v>
      </c>
      <c r="P22" s="11">
        <f>N22*P4</f>
        <v>260.04822000000001</v>
      </c>
      <c r="Q22" s="50">
        <f t="shared" si="4"/>
        <v>8.9610000000000003</v>
      </c>
      <c r="R22" s="7"/>
      <c r="S22" s="36">
        <f>-(Q22*O4)</f>
        <v>-189.61476000000002</v>
      </c>
      <c r="T22" s="36">
        <f>-(Q22*P4)</f>
        <v>-260.04822000000001</v>
      </c>
    </row>
    <row r="23" spans="1:22" hidden="1" x14ac:dyDescent="0.25">
      <c r="A23" s="5">
        <v>45170</v>
      </c>
      <c r="B23" s="6">
        <v>3907.2</v>
      </c>
      <c r="C23" s="6">
        <v>280</v>
      </c>
      <c r="D23" s="20" t="s">
        <v>31</v>
      </c>
      <c r="E23" s="6" t="s">
        <v>21</v>
      </c>
      <c r="F23" s="17">
        <v>566</v>
      </c>
      <c r="G23" s="17">
        <v>610.08199999999999</v>
      </c>
      <c r="H23" s="22"/>
      <c r="I23" s="17">
        <f t="shared" ref="I23:I26" si="5">F23-(G23+H23)</f>
        <v>-44.081999999999994</v>
      </c>
      <c r="J23" s="7"/>
      <c r="K23" s="6">
        <v>0</v>
      </c>
      <c r="L23" s="7"/>
      <c r="M23" s="7"/>
      <c r="N23" s="17">
        <v>8.9610000000000003</v>
      </c>
      <c r="O23" s="11">
        <f>N23*O4</f>
        <v>189.61476000000002</v>
      </c>
      <c r="P23" s="11">
        <f>N23*P4</f>
        <v>260.04822000000001</v>
      </c>
      <c r="Q23" s="50">
        <f t="shared" si="4"/>
        <v>8.9610000000000003</v>
      </c>
      <c r="R23" s="7"/>
      <c r="S23" s="36">
        <f>-(Q23*O4)</f>
        <v>-189.61476000000002</v>
      </c>
      <c r="T23" s="36">
        <f>-(Q23*P4)</f>
        <v>-260.04822000000001</v>
      </c>
    </row>
    <row r="24" spans="1:22" hidden="1" x14ac:dyDescent="0.25">
      <c r="A24" s="5">
        <v>45200</v>
      </c>
      <c r="B24" s="6">
        <v>3907.2</v>
      </c>
      <c r="C24" s="6">
        <v>280</v>
      </c>
      <c r="D24" s="20" t="s">
        <v>31</v>
      </c>
      <c r="E24" s="6" t="s">
        <v>21</v>
      </c>
      <c r="F24" s="17">
        <v>667</v>
      </c>
      <c r="G24" s="17">
        <v>619.50900000000001</v>
      </c>
      <c r="H24" s="22"/>
      <c r="I24" s="17">
        <f t="shared" si="5"/>
        <v>47.490999999999985</v>
      </c>
      <c r="J24" s="7"/>
      <c r="K24" s="6">
        <v>0</v>
      </c>
      <c r="L24" s="7"/>
      <c r="M24" s="7"/>
      <c r="N24" s="17">
        <v>8.9610000000000003</v>
      </c>
      <c r="O24" s="11">
        <f>N24*O4</f>
        <v>189.61476000000002</v>
      </c>
      <c r="P24" s="11">
        <f>N24*P4</f>
        <v>260.04822000000001</v>
      </c>
      <c r="Q24" s="50">
        <f t="shared" si="4"/>
        <v>8.9610000000000003</v>
      </c>
      <c r="R24" s="7"/>
      <c r="S24" s="36">
        <f>-(Q24*O4)</f>
        <v>-189.61476000000002</v>
      </c>
      <c r="T24" s="36">
        <f>-(Q24*P4)</f>
        <v>-260.04822000000001</v>
      </c>
    </row>
    <row r="25" spans="1:22" hidden="1" x14ac:dyDescent="0.25">
      <c r="A25" s="5">
        <v>45231</v>
      </c>
      <c r="B25" s="6">
        <v>3907.2</v>
      </c>
      <c r="C25" s="6">
        <v>280</v>
      </c>
      <c r="D25" s="20" t="s">
        <v>31</v>
      </c>
      <c r="E25" s="6" t="s">
        <v>21</v>
      </c>
      <c r="F25" s="17">
        <v>637</v>
      </c>
      <c r="G25" s="17">
        <v>650.55200000000002</v>
      </c>
      <c r="H25" s="22"/>
      <c r="I25" s="17">
        <f t="shared" si="5"/>
        <v>-13.552000000000021</v>
      </c>
      <c r="J25" s="7"/>
      <c r="K25" s="6">
        <v>0</v>
      </c>
      <c r="L25" s="7"/>
      <c r="M25" s="7"/>
      <c r="N25" s="17">
        <v>8.9610000000000003</v>
      </c>
      <c r="O25" s="11">
        <f>N25*O4</f>
        <v>189.61476000000002</v>
      </c>
      <c r="P25" s="11">
        <f>N25*P4</f>
        <v>260.04822000000001</v>
      </c>
      <c r="Q25" s="50">
        <f t="shared" si="4"/>
        <v>8.9610000000000003</v>
      </c>
      <c r="R25" s="7"/>
      <c r="S25" s="36">
        <f>-(Q25*O4)</f>
        <v>-189.61476000000002</v>
      </c>
      <c r="T25" s="36">
        <f>-(Q25*P4)</f>
        <v>-260.04822000000001</v>
      </c>
    </row>
    <row r="26" spans="1:22" hidden="1" x14ac:dyDescent="0.25">
      <c r="A26" s="5">
        <v>45261</v>
      </c>
      <c r="B26" s="6">
        <v>3907.2</v>
      </c>
      <c r="C26" s="6">
        <v>280</v>
      </c>
      <c r="D26" s="20" t="s">
        <v>31</v>
      </c>
      <c r="E26" s="6" t="s">
        <v>21</v>
      </c>
      <c r="F26" s="17">
        <v>569</v>
      </c>
      <c r="G26" s="17">
        <v>628.84500000000003</v>
      </c>
      <c r="H26" s="22"/>
      <c r="I26" s="17">
        <f t="shared" si="5"/>
        <v>-59.845000000000027</v>
      </c>
      <c r="J26" s="7"/>
      <c r="K26" s="6">
        <v>0</v>
      </c>
      <c r="L26" s="7"/>
      <c r="M26" s="7"/>
      <c r="N26" s="17">
        <v>8.9610000000000003</v>
      </c>
      <c r="O26" s="11">
        <f>N26*O4</f>
        <v>189.61476000000002</v>
      </c>
      <c r="P26" s="11">
        <f>N26*P4</f>
        <v>260.04822000000001</v>
      </c>
      <c r="Q26" s="50">
        <f t="shared" si="4"/>
        <v>8.9610000000000003</v>
      </c>
      <c r="R26" s="7"/>
      <c r="S26" s="36">
        <f>-(Q26*O4)</f>
        <v>-189.61476000000002</v>
      </c>
      <c r="T26" s="36">
        <f>-(Q26*P4)</f>
        <v>-260.04822000000001</v>
      </c>
    </row>
    <row r="27" spans="1:22" hidden="1" x14ac:dyDescent="0.25">
      <c r="B27" s="1"/>
      <c r="C27" s="1"/>
      <c r="O27" s="39">
        <f>SUM(O15:O26)</f>
        <v>2275.3771199999996</v>
      </c>
      <c r="P27" s="39">
        <f>SUM(P15:P26)</f>
        <v>3120.5786400000011</v>
      </c>
      <c r="Q27" s="41"/>
      <c r="R27" s="41"/>
      <c r="S27" s="39">
        <f>SUM(S15:S26)</f>
        <v>-2275.3771199999996</v>
      </c>
      <c r="T27" s="39">
        <f>SUM(T15:T26)</f>
        <v>-3120.5786400000011</v>
      </c>
    </row>
    <row r="28" spans="1:22" hidden="1" x14ac:dyDescent="0.25">
      <c r="B28" s="1"/>
      <c r="C28" s="1"/>
      <c r="O28" s="41"/>
      <c r="P28" s="41"/>
      <c r="Q28" s="41"/>
      <c r="R28" s="41" t="s">
        <v>41</v>
      </c>
      <c r="T28" s="41"/>
    </row>
    <row r="29" spans="1:22" hidden="1" x14ac:dyDescent="0.25">
      <c r="B29" s="1"/>
      <c r="C29" s="1"/>
      <c r="O29" s="41"/>
      <c r="P29" s="41"/>
      <c r="Q29" s="41"/>
      <c r="R29" s="41"/>
      <c r="S29" s="41"/>
      <c r="T29" s="42">
        <f>S27+T27</f>
        <v>-5395.9557600000007</v>
      </c>
    </row>
    <row r="30" spans="1:22" hidden="1" x14ac:dyDescent="0.25"/>
    <row r="31" spans="1:22" hidden="1" x14ac:dyDescent="0.25"/>
    <row r="32" spans="1:22" hidden="1" x14ac:dyDescent="0.25"/>
    <row r="33" spans="1:20" hidden="1" x14ac:dyDescent="0.25">
      <c r="A33" s="5">
        <v>45292</v>
      </c>
      <c r="B33" s="6">
        <v>3907.2</v>
      </c>
      <c r="C33" s="6">
        <v>280</v>
      </c>
      <c r="D33" s="20" t="s">
        <v>31</v>
      </c>
      <c r="E33" s="6" t="s">
        <v>21</v>
      </c>
      <c r="F33" s="17">
        <v>685</v>
      </c>
      <c r="G33" s="17">
        <v>661.37400000000002</v>
      </c>
      <c r="H33" s="17"/>
      <c r="I33" s="17">
        <f>F33-(G33+H33)</f>
        <v>23.625999999999976</v>
      </c>
      <c r="J33" s="6"/>
      <c r="K33" s="6">
        <v>0</v>
      </c>
      <c r="L33" s="6"/>
      <c r="M33" s="6"/>
      <c r="N33" s="17">
        <v>8.9610000000000003</v>
      </c>
      <c r="O33" s="11">
        <f>N33*Q3</f>
        <v>189.61476000000002</v>
      </c>
      <c r="P33" s="11">
        <f>N33*R3</f>
        <v>260.04822000000001</v>
      </c>
      <c r="Q33" s="50"/>
      <c r="R33" s="50"/>
      <c r="S33" s="36">
        <f>-(N33*Q3)</f>
        <v>-189.61476000000002</v>
      </c>
      <c r="T33" s="36">
        <f>-(N33*R3)</f>
        <v>-260.04822000000001</v>
      </c>
    </row>
    <row r="34" spans="1:20" hidden="1" x14ac:dyDescent="0.25">
      <c r="A34" s="5">
        <v>45323</v>
      </c>
      <c r="B34" s="6">
        <v>3907.2</v>
      </c>
      <c r="C34" s="6">
        <v>280</v>
      </c>
      <c r="D34" s="20" t="s">
        <v>31</v>
      </c>
      <c r="E34" s="6" t="s">
        <v>21</v>
      </c>
      <c r="F34" s="17">
        <v>574</v>
      </c>
      <c r="G34" s="17">
        <v>637.53</v>
      </c>
      <c r="H34" s="17"/>
      <c r="I34" s="17">
        <f t="shared" ref="I34" si="6">F34-(G34+H34)</f>
        <v>-63.529999999999973</v>
      </c>
      <c r="J34" s="6"/>
      <c r="K34" s="6">
        <v>0</v>
      </c>
      <c r="L34" s="6"/>
      <c r="M34" s="6"/>
      <c r="N34" s="17">
        <v>8.9610000000000003</v>
      </c>
      <c r="O34" s="11">
        <f>N34*Q3</f>
        <v>189.61476000000002</v>
      </c>
      <c r="P34" s="11">
        <f>N34*R3</f>
        <v>260.04822000000001</v>
      </c>
      <c r="Q34" s="50"/>
      <c r="R34" s="22"/>
      <c r="S34" s="36">
        <f>-(N34*Q3)</f>
        <v>-189.61476000000002</v>
      </c>
      <c r="T34" s="36">
        <f>-(N34*R3)</f>
        <v>-260.04822000000001</v>
      </c>
    </row>
    <row r="35" spans="1:20" hidden="1" x14ac:dyDescent="0.25">
      <c r="A35" s="5">
        <v>45352</v>
      </c>
      <c r="B35" s="6">
        <v>3907.2</v>
      </c>
      <c r="C35" s="6">
        <v>280</v>
      </c>
      <c r="D35" s="20" t="s">
        <v>31</v>
      </c>
      <c r="E35" s="6" t="s">
        <v>21</v>
      </c>
      <c r="F35" s="17">
        <v>630</v>
      </c>
      <c r="G35" s="17">
        <v>638.34699999999998</v>
      </c>
      <c r="H35" s="17"/>
      <c r="I35" s="17">
        <f t="shared" ref="I35:I44" si="7">F35-(G35+H35)</f>
        <v>-8.34699999999998</v>
      </c>
      <c r="J35" s="6"/>
      <c r="K35" s="6">
        <v>0</v>
      </c>
      <c r="L35" s="6"/>
      <c r="M35" s="6"/>
      <c r="N35" s="17">
        <v>8.9610000000000003</v>
      </c>
      <c r="O35" s="11">
        <f>N35*Q3</f>
        <v>189.61476000000002</v>
      </c>
      <c r="P35" s="11">
        <f>N35*R3</f>
        <v>260.04822000000001</v>
      </c>
      <c r="Q35" s="50"/>
      <c r="R35" s="7"/>
      <c r="S35" s="36">
        <f>-(N35*Q3)</f>
        <v>-189.61476000000002</v>
      </c>
      <c r="T35" s="36">
        <f>-(N35*R3)</f>
        <v>-260.04822000000001</v>
      </c>
    </row>
    <row r="36" spans="1:20" hidden="1" x14ac:dyDescent="0.25">
      <c r="A36" s="5">
        <v>45383</v>
      </c>
      <c r="B36" s="6">
        <v>3907.2</v>
      </c>
      <c r="C36" s="6">
        <v>280</v>
      </c>
      <c r="D36" s="20" t="s">
        <v>31</v>
      </c>
      <c r="E36" s="6" t="s">
        <v>21</v>
      </c>
      <c r="F36" s="17">
        <v>613</v>
      </c>
      <c r="G36" s="17">
        <v>646.75300000000004</v>
      </c>
      <c r="H36" s="17"/>
      <c r="I36" s="17">
        <f t="shared" si="7"/>
        <v>-33.753000000000043</v>
      </c>
      <c r="J36" s="6"/>
      <c r="K36" s="6">
        <v>0</v>
      </c>
      <c r="L36" s="6"/>
      <c r="M36" s="6"/>
      <c r="N36" s="17">
        <v>8.9610000000000003</v>
      </c>
      <c r="O36" s="11">
        <f>N36*Q3</f>
        <v>189.61476000000002</v>
      </c>
      <c r="P36" s="11">
        <f>N36*R3</f>
        <v>260.04822000000001</v>
      </c>
      <c r="Q36" s="50"/>
      <c r="R36" s="7"/>
      <c r="S36" s="36">
        <f>-(N36*Q3)</f>
        <v>-189.61476000000002</v>
      </c>
      <c r="T36" s="36">
        <f>-(N36*R3)</f>
        <v>-260.04822000000001</v>
      </c>
    </row>
    <row r="37" spans="1:20" hidden="1" x14ac:dyDescent="0.25">
      <c r="A37" s="5">
        <v>45413</v>
      </c>
      <c r="B37" s="6">
        <v>3907.2</v>
      </c>
      <c r="C37" s="6">
        <v>280</v>
      </c>
      <c r="D37" s="20" t="s">
        <v>31</v>
      </c>
      <c r="E37" s="6" t="s">
        <v>21</v>
      </c>
      <c r="F37" s="17">
        <v>562</v>
      </c>
      <c r="G37" s="17">
        <v>612.29999999999995</v>
      </c>
      <c r="H37" s="17"/>
      <c r="I37" s="17">
        <f t="shared" si="7"/>
        <v>-50.299999999999955</v>
      </c>
      <c r="J37" s="6"/>
      <c r="K37" s="6">
        <v>0</v>
      </c>
      <c r="L37" s="6"/>
      <c r="M37" s="6"/>
      <c r="N37" s="17">
        <v>8.9610000000000003</v>
      </c>
      <c r="O37" s="11">
        <f>N37*Q3</f>
        <v>189.61476000000002</v>
      </c>
      <c r="P37" s="11">
        <f>N37*R3</f>
        <v>260.04822000000001</v>
      </c>
      <c r="Q37" s="50"/>
      <c r="R37" s="7"/>
      <c r="S37" s="36">
        <f>-(N37*Q3)</f>
        <v>-189.61476000000002</v>
      </c>
      <c r="T37" s="36">
        <f>-(N37*R3)</f>
        <v>-260.04822000000001</v>
      </c>
    </row>
    <row r="38" spans="1:20" hidden="1" x14ac:dyDescent="0.25">
      <c r="A38" s="5">
        <v>45444</v>
      </c>
      <c r="B38" s="6">
        <v>3907.2</v>
      </c>
      <c r="C38" s="6">
        <v>280</v>
      </c>
      <c r="D38" s="20" t="s">
        <v>31</v>
      </c>
      <c r="E38" s="6" t="s">
        <v>21</v>
      </c>
      <c r="F38" s="17">
        <v>487</v>
      </c>
      <c r="G38" s="17">
        <v>618.31399999999996</v>
      </c>
      <c r="H38" s="17"/>
      <c r="I38" s="17">
        <f t="shared" si="7"/>
        <v>-131.31399999999996</v>
      </c>
      <c r="J38" s="6"/>
      <c r="K38" s="6">
        <v>0</v>
      </c>
      <c r="L38" s="6"/>
      <c r="M38" s="6"/>
      <c r="N38" s="17">
        <v>8.9610000000000003</v>
      </c>
      <c r="O38" s="11">
        <f>N38*Q3</f>
        <v>189.61476000000002</v>
      </c>
      <c r="P38" s="11">
        <f>N38*R3</f>
        <v>260.04822000000001</v>
      </c>
      <c r="Q38" s="50"/>
      <c r="R38" s="7"/>
      <c r="S38" s="36">
        <f>-(N38*Q3)</f>
        <v>-189.61476000000002</v>
      </c>
      <c r="T38" s="36">
        <f>-(N38*R3)</f>
        <v>-260.04822000000001</v>
      </c>
    </row>
    <row r="39" spans="1:20" hidden="1" x14ac:dyDescent="0.25">
      <c r="A39" s="5">
        <v>45474</v>
      </c>
      <c r="B39" s="6">
        <v>3907.2</v>
      </c>
      <c r="C39" s="6">
        <v>280</v>
      </c>
      <c r="D39" s="20" t="s">
        <v>31</v>
      </c>
      <c r="E39" s="6" t="s">
        <v>21</v>
      </c>
      <c r="F39" s="17">
        <v>556</v>
      </c>
      <c r="G39" s="17">
        <v>634.04499999999996</v>
      </c>
      <c r="H39" s="17"/>
      <c r="I39" s="17">
        <f t="shared" si="7"/>
        <v>-78.044999999999959</v>
      </c>
      <c r="J39" s="6"/>
      <c r="K39" s="6">
        <v>0</v>
      </c>
      <c r="L39" s="6"/>
      <c r="M39" s="6"/>
      <c r="N39" s="17">
        <v>8.9610000000000003</v>
      </c>
      <c r="O39" s="11">
        <f>N39*Q4</f>
        <v>210.22506000000001</v>
      </c>
      <c r="P39" s="11">
        <f>N39*R4</f>
        <v>277.88061000000005</v>
      </c>
      <c r="Q39" s="50"/>
      <c r="R39" s="7"/>
      <c r="S39" s="36">
        <f>-(N39*Q4)</f>
        <v>-210.22506000000001</v>
      </c>
      <c r="T39" s="36">
        <f>-(N39*R4)</f>
        <v>-277.88061000000005</v>
      </c>
    </row>
    <row r="40" spans="1:20" hidden="1" x14ac:dyDescent="0.25">
      <c r="A40" s="5">
        <v>45505</v>
      </c>
      <c r="B40" s="6">
        <v>3907.2</v>
      </c>
      <c r="C40" s="6">
        <v>280</v>
      </c>
      <c r="D40" s="20" t="s">
        <v>31</v>
      </c>
      <c r="E40" s="6" t="s">
        <v>21</v>
      </c>
      <c r="F40" s="17">
        <v>530</v>
      </c>
      <c r="G40" s="17">
        <v>623.04999999999995</v>
      </c>
      <c r="H40" s="17"/>
      <c r="I40" s="17">
        <f t="shared" si="7"/>
        <v>-93.049999999999955</v>
      </c>
      <c r="J40" s="6"/>
      <c r="K40" s="6">
        <v>0</v>
      </c>
      <c r="L40" s="6"/>
      <c r="M40" s="6"/>
      <c r="N40" s="17">
        <v>8.9610000000000003</v>
      </c>
      <c r="O40" s="11">
        <f>N40*Q4</f>
        <v>210.22506000000001</v>
      </c>
      <c r="P40" s="11">
        <f>N40*R4</f>
        <v>277.88061000000005</v>
      </c>
      <c r="Q40" s="50"/>
      <c r="R40" s="7"/>
      <c r="S40" s="36">
        <f>-(N40*Q4)</f>
        <v>-210.22506000000001</v>
      </c>
      <c r="T40" s="36">
        <f>-(N40*R4)</f>
        <v>-277.88061000000005</v>
      </c>
    </row>
    <row r="41" spans="1:20" hidden="1" x14ac:dyDescent="0.25">
      <c r="A41" s="5">
        <v>45536</v>
      </c>
      <c r="B41" s="6">
        <v>3907.2</v>
      </c>
      <c r="C41" s="6">
        <v>280</v>
      </c>
      <c r="D41" s="20" t="s">
        <v>31</v>
      </c>
      <c r="E41" s="6" t="s">
        <v>21</v>
      </c>
      <c r="F41" s="17">
        <v>571</v>
      </c>
      <c r="G41" s="17">
        <v>645.07600000000002</v>
      </c>
      <c r="H41" s="17"/>
      <c r="I41" s="17">
        <f t="shared" si="7"/>
        <v>-74.076000000000022</v>
      </c>
      <c r="J41" s="6"/>
      <c r="K41" s="6">
        <v>0</v>
      </c>
      <c r="L41" s="6"/>
      <c r="M41" s="6"/>
      <c r="N41" s="17">
        <v>8.9610000000000003</v>
      </c>
      <c r="O41" s="11">
        <f>N41*Q4</f>
        <v>210.22506000000001</v>
      </c>
      <c r="P41" s="11">
        <f>N41*R4</f>
        <v>277.88061000000005</v>
      </c>
      <c r="Q41" s="50"/>
      <c r="R41" s="7"/>
      <c r="S41" s="36">
        <f>-(N41*Q4)</f>
        <v>-210.22506000000001</v>
      </c>
      <c r="T41" s="36">
        <f>-(N41*R4)</f>
        <v>-277.88061000000005</v>
      </c>
    </row>
    <row r="42" spans="1:20" hidden="1" x14ac:dyDescent="0.25">
      <c r="A42" s="5">
        <v>45566</v>
      </c>
      <c r="B42" s="6">
        <v>3907.2</v>
      </c>
      <c r="C42" s="6">
        <v>280</v>
      </c>
      <c r="D42" s="20" t="s">
        <v>31</v>
      </c>
      <c r="E42" s="6" t="s">
        <v>21</v>
      </c>
      <c r="F42" s="17">
        <v>518</v>
      </c>
      <c r="G42" s="17">
        <v>617.53200000000004</v>
      </c>
      <c r="H42" s="17"/>
      <c r="I42" s="17">
        <f t="shared" si="7"/>
        <v>-99.532000000000039</v>
      </c>
      <c r="J42" s="6"/>
      <c r="K42" s="6">
        <v>0</v>
      </c>
      <c r="L42" s="6"/>
      <c r="M42" s="6"/>
      <c r="N42" s="17">
        <v>8.9610000000000003</v>
      </c>
      <c r="O42" s="11">
        <f>N42*Q4</f>
        <v>210.22506000000001</v>
      </c>
      <c r="P42" s="11">
        <f>N42*R4</f>
        <v>277.88061000000005</v>
      </c>
      <c r="Q42" s="50"/>
      <c r="R42" s="7"/>
      <c r="S42" s="36">
        <f>-(N42*Q4)</f>
        <v>-210.22506000000001</v>
      </c>
      <c r="T42" s="36">
        <f>-(N42*R4)</f>
        <v>-277.88061000000005</v>
      </c>
    </row>
    <row r="43" spans="1:20" hidden="1" x14ac:dyDescent="0.25">
      <c r="A43" s="5">
        <v>45597</v>
      </c>
      <c r="B43" s="6">
        <v>3907.2</v>
      </c>
      <c r="C43" s="6">
        <v>280</v>
      </c>
      <c r="D43" s="20" t="s">
        <v>31</v>
      </c>
      <c r="E43" s="6" t="s">
        <v>21</v>
      </c>
      <c r="F43" s="17">
        <v>534</v>
      </c>
      <c r="G43" s="17">
        <v>642.47500000000002</v>
      </c>
      <c r="H43" s="17"/>
      <c r="I43" s="17">
        <f t="shared" si="7"/>
        <v>-108.47500000000002</v>
      </c>
      <c r="J43" s="6"/>
      <c r="K43" s="6">
        <v>0</v>
      </c>
      <c r="L43" s="6"/>
      <c r="M43" s="6"/>
      <c r="N43" s="17">
        <v>8.9610000000000003</v>
      </c>
      <c r="O43" s="11">
        <f>N43*Q4</f>
        <v>210.22506000000001</v>
      </c>
      <c r="P43" s="11">
        <f>N43*R4</f>
        <v>277.88061000000005</v>
      </c>
      <c r="Q43" s="50"/>
      <c r="R43" s="7"/>
      <c r="S43" s="36">
        <f>-(N43*Q4)</f>
        <v>-210.22506000000001</v>
      </c>
      <c r="T43" s="36">
        <f>-(N43*R4)</f>
        <v>-277.88061000000005</v>
      </c>
    </row>
    <row r="44" spans="1:20" hidden="1" x14ac:dyDescent="0.25">
      <c r="A44" s="5">
        <v>45627</v>
      </c>
      <c r="B44" s="6">
        <v>3907.2</v>
      </c>
      <c r="C44" s="6">
        <v>280</v>
      </c>
      <c r="D44" s="20" t="s">
        <v>31</v>
      </c>
      <c r="E44" s="6" t="s">
        <v>21</v>
      </c>
      <c r="F44" s="17">
        <v>518</v>
      </c>
      <c r="G44" s="17">
        <v>626.41</v>
      </c>
      <c r="H44" s="17"/>
      <c r="I44" s="17">
        <f t="shared" si="7"/>
        <v>-108.40999999999997</v>
      </c>
      <c r="J44" s="6"/>
      <c r="K44" s="6">
        <v>0</v>
      </c>
      <c r="L44" s="6"/>
      <c r="M44" s="6"/>
      <c r="N44" s="17">
        <v>8.9610000000000003</v>
      </c>
      <c r="O44" s="11">
        <f>N44*Q4</f>
        <v>210.22506000000001</v>
      </c>
      <c r="P44" s="11">
        <f>N44*R4</f>
        <v>277.88061000000005</v>
      </c>
      <c r="Q44" s="50"/>
      <c r="R44" s="7"/>
      <c r="S44" s="36">
        <f>-(N44*Q4)</f>
        <v>-210.22506000000001</v>
      </c>
      <c r="T44" s="36">
        <f>-(N44*R4)</f>
        <v>-277.88061000000005</v>
      </c>
    </row>
    <row r="45" spans="1:20" hidden="1" x14ac:dyDescent="0.25">
      <c r="B45" s="1"/>
      <c r="C45" s="1"/>
      <c r="N45" s="60">
        <f>SUM(N33:N44)</f>
        <v>107.532</v>
      </c>
      <c r="O45" s="39">
        <f>SUM(O33:O44)</f>
        <v>2399.0389200000004</v>
      </c>
      <c r="P45" s="39">
        <f>SUM(P33:P44)</f>
        <v>3227.5729800000013</v>
      </c>
      <c r="Q45" s="41"/>
      <c r="R45" s="41"/>
      <c r="S45" s="39">
        <f>SUM(S33:S44)</f>
        <v>-2399.0389200000004</v>
      </c>
      <c r="T45" s="39">
        <f>SUM(T33:T44)</f>
        <v>-3227.5729800000013</v>
      </c>
    </row>
    <row r="46" spans="1:20" hidden="1" x14ac:dyDescent="0.25">
      <c r="B46" s="1"/>
      <c r="C46" s="1"/>
      <c r="N46">
        <f>N45/2</f>
        <v>53.765999999999998</v>
      </c>
      <c r="O46" s="41"/>
      <c r="P46" s="41"/>
      <c r="Q46" s="41"/>
      <c r="R46" s="41" t="s">
        <v>41</v>
      </c>
      <c r="T46" s="41"/>
    </row>
    <row r="47" spans="1:20" hidden="1" x14ac:dyDescent="0.25">
      <c r="B47" s="1"/>
      <c r="C47" s="1"/>
      <c r="N47">
        <f>N45/2</f>
        <v>53.765999999999998</v>
      </c>
      <c r="O47" s="41"/>
      <c r="P47" s="41"/>
      <c r="Q47" s="41"/>
      <c r="R47" s="41"/>
      <c r="S47" s="41"/>
      <c r="T47" s="42">
        <f>S45+T45</f>
        <v>-5626.6119000000017</v>
      </c>
    </row>
    <row r="48" spans="1:20" hidden="1" x14ac:dyDescent="0.25"/>
    <row r="49" spans="1:20" hidden="1" x14ac:dyDescent="0.25"/>
    <row r="50" spans="1:20" ht="17.25" customHeight="1" x14ac:dyDescent="0.25">
      <c r="A50" s="27"/>
      <c r="B50" s="27"/>
      <c r="C50" s="27"/>
      <c r="D50" s="27"/>
      <c r="E50" s="27"/>
      <c r="F50" s="27"/>
      <c r="G50" s="27"/>
      <c r="H50" s="28"/>
      <c r="I50" s="28"/>
      <c r="J50" s="28"/>
      <c r="K50" s="28"/>
      <c r="L50" s="28"/>
      <c r="M50" s="28"/>
      <c r="N50" s="28"/>
      <c r="O50" s="29" t="s">
        <v>21</v>
      </c>
      <c r="P50" s="29" t="s">
        <v>33</v>
      </c>
      <c r="Q50" s="28"/>
      <c r="R50" s="29" t="s">
        <v>21</v>
      </c>
      <c r="S50" s="29" t="s">
        <v>33</v>
      </c>
      <c r="T50" s="61"/>
    </row>
    <row r="51" spans="1:20" ht="16.5" customHeight="1" x14ac:dyDescent="0.25">
      <c r="A51" s="68" t="s">
        <v>15</v>
      </c>
      <c r="B51" s="68"/>
      <c r="C51" s="68"/>
      <c r="D51" s="68"/>
      <c r="H51" s="69" t="s">
        <v>78</v>
      </c>
      <c r="I51" s="69"/>
      <c r="J51" s="69"/>
      <c r="K51" s="69"/>
      <c r="L51" s="69"/>
      <c r="M51" s="69"/>
      <c r="N51" s="30" t="s">
        <v>76</v>
      </c>
      <c r="O51" s="31">
        <v>23.46</v>
      </c>
      <c r="P51" s="30">
        <v>31.01</v>
      </c>
      <c r="Q51" s="30" t="s">
        <v>77</v>
      </c>
      <c r="R51" s="31">
        <v>26.71</v>
      </c>
      <c r="S51" s="30">
        <v>34.78</v>
      </c>
      <c r="T51" s="61"/>
    </row>
    <row r="52" spans="1:20" ht="83.25" customHeight="1" x14ac:dyDescent="0.25">
      <c r="A52" s="64" t="s">
        <v>3</v>
      </c>
      <c r="B52" s="64" t="s">
        <v>2</v>
      </c>
      <c r="C52" s="70" t="s">
        <v>10</v>
      </c>
      <c r="D52" s="64" t="s">
        <v>11</v>
      </c>
      <c r="E52" s="64" t="s">
        <v>0</v>
      </c>
      <c r="F52" s="67" t="s">
        <v>79</v>
      </c>
      <c r="G52" s="67" t="s">
        <v>80</v>
      </c>
      <c r="H52" s="67" t="s">
        <v>81</v>
      </c>
      <c r="I52" s="67" t="s">
        <v>9</v>
      </c>
      <c r="J52" s="67" t="s">
        <v>22</v>
      </c>
      <c r="K52" s="67"/>
      <c r="L52" s="67" t="s">
        <v>24</v>
      </c>
      <c r="M52" s="67" t="s">
        <v>25</v>
      </c>
      <c r="N52" s="65" t="s">
        <v>44</v>
      </c>
      <c r="O52" s="67" t="s">
        <v>26</v>
      </c>
      <c r="P52" s="67" t="s">
        <v>43</v>
      </c>
      <c r="Q52" s="67" t="s">
        <v>4</v>
      </c>
      <c r="R52" s="67"/>
      <c r="S52" s="64" t="s">
        <v>53</v>
      </c>
      <c r="T52" s="64" t="s">
        <v>52</v>
      </c>
    </row>
    <row r="53" spans="1:20" ht="92.25" customHeight="1" x14ac:dyDescent="0.25">
      <c r="A53" s="64"/>
      <c r="B53" s="64"/>
      <c r="C53" s="71"/>
      <c r="D53" s="64"/>
      <c r="E53" s="64"/>
      <c r="F53" s="67"/>
      <c r="G53" s="67"/>
      <c r="H53" s="67"/>
      <c r="I53" s="67"/>
      <c r="J53" s="63" t="s">
        <v>1</v>
      </c>
      <c r="K53" s="63" t="s">
        <v>23</v>
      </c>
      <c r="L53" s="67"/>
      <c r="M53" s="67"/>
      <c r="N53" s="66"/>
      <c r="O53" s="67"/>
      <c r="P53" s="66"/>
      <c r="Q53" s="63" t="s">
        <v>38</v>
      </c>
      <c r="R53" s="63" t="s">
        <v>82</v>
      </c>
      <c r="S53" s="64"/>
      <c r="T53" s="64"/>
    </row>
    <row r="54" spans="1:20" x14ac:dyDescent="0.25">
      <c r="A54" s="4">
        <v>1</v>
      </c>
      <c r="B54" s="4">
        <v>2</v>
      </c>
      <c r="C54" s="4">
        <v>3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  <c r="I54" s="4">
        <v>9</v>
      </c>
      <c r="J54" s="4">
        <v>10</v>
      </c>
      <c r="K54" s="4">
        <v>11</v>
      </c>
      <c r="L54" s="4">
        <v>12</v>
      </c>
      <c r="M54" s="4">
        <v>13</v>
      </c>
      <c r="N54" s="4">
        <v>14</v>
      </c>
      <c r="O54" s="4">
        <v>15</v>
      </c>
      <c r="P54" s="4">
        <v>16</v>
      </c>
      <c r="Q54" s="4">
        <v>17</v>
      </c>
      <c r="R54" s="4">
        <v>18</v>
      </c>
      <c r="S54" s="4">
        <v>19</v>
      </c>
      <c r="T54" s="4">
        <v>20</v>
      </c>
    </row>
    <row r="55" spans="1:20" x14ac:dyDescent="0.25">
      <c r="A55" s="62"/>
      <c r="F55" s="54"/>
      <c r="G55" s="54"/>
      <c r="T55" s="51"/>
    </row>
    <row r="56" spans="1:20" x14ac:dyDescent="0.25">
      <c r="A56" s="5">
        <v>45658</v>
      </c>
      <c r="B56" s="6">
        <v>3907.2</v>
      </c>
      <c r="C56" s="6">
        <v>280</v>
      </c>
      <c r="D56" s="20" t="s">
        <v>31</v>
      </c>
      <c r="E56" s="6" t="s">
        <v>21</v>
      </c>
      <c r="F56" s="55">
        <v>584</v>
      </c>
      <c r="G56" s="55">
        <v>645.41</v>
      </c>
      <c r="H56" s="17">
        <v>0</v>
      </c>
      <c r="I56" s="17">
        <f>F56-(G56+H56)</f>
        <v>-61.409999999999968</v>
      </c>
      <c r="J56" s="6"/>
      <c r="K56" s="6">
        <v>0</v>
      </c>
      <c r="L56" s="6"/>
      <c r="M56" s="6"/>
      <c r="N56" s="17">
        <f>C56*0.033</f>
        <v>9.24</v>
      </c>
      <c r="O56" s="11">
        <f>N56*O51</f>
        <v>216.77040000000002</v>
      </c>
      <c r="P56" s="11">
        <f>N56*P51*2</f>
        <v>573.06479999999999</v>
      </c>
      <c r="Q56" s="50"/>
      <c r="R56" s="50"/>
      <c r="S56" s="36">
        <f>-(N56*O51)</f>
        <v>-216.77040000000002</v>
      </c>
      <c r="T56" s="36">
        <f>-(N56*P51)*2</f>
        <v>-573.06479999999999</v>
      </c>
    </row>
    <row r="57" spans="1:20" x14ac:dyDescent="0.25">
      <c r="A57" s="5">
        <v>45689</v>
      </c>
      <c r="B57" s="6">
        <v>3907.2</v>
      </c>
      <c r="C57" s="6">
        <v>280</v>
      </c>
      <c r="D57" s="20" t="s">
        <v>31</v>
      </c>
      <c r="E57" s="6" t="s">
        <v>21</v>
      </c>
      <c r="F57" s="55">
        <v>686</v>
      </c>
      <c r="G57" s="55">
        <v>649.52</v>
      </c>
      <c r="H57" s="17">
        <v>0</v>
      </c>
      <c r="I57" s="17">
        <f t="shared" ref="I57:I67" si="8">F57-(G57+H57)</f>
        <v>36.480000000000018</v>
      </c>
      <c r="J57" s="6"/>
      <c r="K57" s="6">
        <v>0</v>
      </c>
      <c r="L57" s="6"/>
      <c r="M57" s="6"/>
      <c r="N57" s="17">
        <f t="shared" ref="N57:N67" si="9">C57*0.033</f>
        <v>9.24</v>
      </c>
      <c r="O57" s="11">
        <f>N57*O51</f>
        <v>216.77040000000002</v>
      </c>
      <c r="P57" s="11">
        <f>N57*P51*2</f>
        <v>573.06479999999999</v>
      </c>
      <c r="Q57" s="50"/>
      <c r="R57" s="22"/>
      <c r="S57" s="36">
        <f>-(N57*O51)</f>
        <v>-216.77040000000002</v>
      </c>
      <c r="T57" s="36">
        <f>-(N57*P51)*2</f>
        <v>-573.06479999999999</v>
      </c>
    </row>
    <row r="58" spans="1:20" x14ac:dyDescent="0.25">
      <c r="A58" s="5">
        <v>45717</v>
      </c>
      <c r="B58" s="6">
        <v>3907.2</v>
      </c>
      <c r="C58" s="6">
        <v>280</v>
      </c>
      <c r="D58" s="20" t="s">
        <v>31</v>
      </c>
      <c r="E58" s="6" t="s">
        <v>21</v>
      </c>
      <c r="F58" s="55">
        <v>547</v>
      </c>
      <c r="G58" s="55">
        <v>652.52</v>
      </c>
      <c r="H58" s="17">
        <v>0</v>
      </c>
      <c r="I58" s="17">
        <f t="shared" si="8"/>
        <v>-105.51999999999998</v>
      </c>
      <c r="J58" s="6"/>
      <c r="K58" s="6">
        <v>0</v>
      </c>
      <c r="L58" s="6"/>
      <c r="M58" s="6"/>
      <c r="N58" s="17">
        <f t="shared" si="9"/>
        <v>9.24</v>
      </c>
      <c r="O58" s="11">
        <f>N58*O51</f>
        <v>216.77040000000002</v>
      </c>
      <c r="P58" s="11">
        <f>N58*P51*2</f>
        <v>573.06479999999999</v>
      </c>
      <c r="Q58" s="50"/>
      <c r="R58" s="7"/>
      <c r="S58" s="36">
        <f>-(N58*O51)</f>
        <v>-216.77040000000002</v>
      </c>
      <c r="T58" s="36">
        <f>-(N58*P51)*2</f>
        <v>-573.06479999999999</v>
      </c>
    </row>
    <row r="59" spans="1:20" x14ac:dyDescent="0.25">
      <c r="A59" s="5">
        <v>45748</v>
      </c>
      <c r="B59" s="6">
        <v>3907.2</v>
      </c>
      <c r="C59" s="6">
        <v>280</v>
      </c>
      <c r="D59" s="20" t="s">
        <v>31</v>
      </c>
      <c r="E59" s="6" t="s">
        <v>21</v>
      </c>
      <c r="F59" s="55">
        <v>602</v>
      </c>
      <c r="G59" s="55">
        <v>643.29</v>
      </c>
      <c r="H59" s="17">
        <v>0</v>
      </c>
      <c r="I59" s="17">
        <f t="shared" si="8"/>
        <v>-41.289999999999964</v>
      </c>
      <c r="J59" s="6"/>
      <c r="K59" s="6">
        <v>0</v>
      </c>
      <c r="L59" s="6"/>
      <c r="M59" s="6"/>
      <c r="N59" s="17">
        <f t="shared" si="9"/>
        <v>9.24</v>
      </c>
      <c r="O59" s="11">
        <f>N59*O51</f>
        <v>216.77040000000002</v>
      </c>
      <c r="P59" s="11">
        <f>N59*P51*2</f>
        <v>573.06479999999999</v>
      </c>
      <c r="Q59" s="50"/>
      <c r="R59" s="7"/>
      <c r="S59" s="36">
        <f>-(N59*O51)</f>
        <v>-216.77040000000002</v>
      </c>
      <c r="T59" s="36">
        <f>-(N59*P51)*2</f>
        <v>-573.06479999999999</v>
      </c>
    </row>
    <row r="60" spans="1:20" x14ac:dyDescent="0.25">
      <c r="A60" s="5">
        <v>45778</v>
      </c>
      <c r="B60" s="6">
        <v>3907.2</v>
      </c>
      <c r="C60" s="6">
        <v>280</v>
      </c>
      <c r="D60" s="20" t="s">
        <v>31</v>
      </c>
      <c r="E60" s="6" t="s">
        <v>21</v>
      </c>
      <c r="F60" s="55">
        <v>607</v>
      </c>
      <c r="G60" s="55">
        <v>651.70500000000004</v>
      </c>
      <c r="H60" s="17">
        <v>0</v>
      </c>
      <c r="I60" s="17">
        <f t="shared" si="8"/>
        <v>-44.705000000000041</v>
      </c>
      <c r="J60" s="6"/>
      <c r="K60" s="6">
        <v>0</v>
      </c>
      <c r="L60" s="6"/>
      <c r="M60" s="6"/>
      <c r="N60" s="17">
        <f t="shared" si="9"/>
        <v>9.24</v>
      </c>
      <c r="O60" s="11">
        <f>N60*O51</f>
        <v>216.77040000000002</v>
      </c>
      <c r="P60" s="11">
        <f>N60*P51*2</f>
        <v>573.06479999999999</v>
      </c>
      <c r="Q60" s="50"/>
      <c r="R60" s="7"/>
      <c r="S60" s="36">
        <f>-(N60*O51)</f>
        <v>-216.77040000000002</v>
      </c>
      <c r="T60" s="36">
        <f>-(N60*P51)*2</f>
        <v>-573.06479999999999</v>
      </c>
    </row>
    <row r="61" spans="1:20" x14ac:dyDescent="0.25">
      <c r="A61" s="5">
        <v>45809</v>
      </c>
      <c r="B61" s="6">
        <v>3907.2</v>
      </c>
      <c r="C61" s="6">
        <v>280</v>
      </c>
      <c r="D61" s="20" t="s">
        <v>31</v>
      </c>
      <c r="E61" s="6" t="s">
        <v>21</v>
      </c>
      <c r="F61" s="55">
        <v>546</v>
      </c>
      <c r="G61" s="55">
        <v>631.99</v>
      </c>
      <c r="H61" s="17">
        <v>0</v>
      </c>
      <c r="I61" s="17">
        <f t="shared" si="8"/>
        <v>-85.990000000000009</v>
      </c>
      <c r="J61" s="6"/>
      <c r="K61" s="6">
        <v>0</v>
      </c>
      <c r="L61" s="6"/>
      <c r="M61" s="6"/>
      <c r="N61" s="17">
        <f t="shared" si="9"/>
        <v>9.24</v>
      </c>
      <c r="O61" s="11">
        <f>N61*O51</f>
        <v>216.77040000000002</v>
      </c>
      <c r="P61" s="11">
        <f>N61*P51*2</f>
        <v>573.06479999999999</v>
      </c>
      <c r="Q61" s="50"/>
      <c r="R61" s="7"/>
      <c r="S61" s="36">
        <f>-(N61*O51)</f>
        <v>-216.77040000000002</v>
      </c>
      <c r="T61" s="36">
        <f>-(N61*P51)*2</f>
        <v>-573.06479999999999</v>
      </c>
    </row>
    <row r="62" spans="1:20" x14ac:dyDescent="0.25">
      <c r="A62" s="5">
        <v>45839</v>
      </c>
      <c r="B62" s="6">
        <v>3907.2</v>
      </c>
      <c r="C62" s="6">
        <v>280</v>
      </c>
      <c r="D62" s="20" t="s">
        <v>31</v>
      </c>
      <c r="E62" s="6" t="s">
        <v>21</v>
      </c>
      <c r="F62" s="55">
        <v>541</v>
      </c>
      <c r="G62" s="55">
        <v>594.67399999999998</v>
      </c>
      <c r="H62" s="17">
        <v>0</v>
      </c>
      <c r="I62" s="17">
        <f t="shared" si="8"/>
        <v>-53.673999999999978</v>
      </c>
      <c r="J62" s="6"/>
      <c r="K62" s="6">
        <v>0</v>
      </c>
      <c r="L62" s="6"/>
      <c r="M62" s="6"/>
      <c r="N62" s="17">
        <f t="shared" si="9"/>
        <v>9.24</v>
      </c>
      <c r="O62" s="11">
        <f>N62*R51</f>
        <v>246.80040000000002</v>
      </c>
      <c r="P62" s="11">
        <f>N62*S51*2</f>
        <v>642.73440000000005</v>
      </c>
      <c r="Q62" s="50"/>
      <c r="R62" s="7"/>
      <c r="S62" s="36">
        <f>-(N62*R51)</f>
        <v>-246.80040000000002</v>
      </c>
      <c r="T62" s="36">
        <f>-(N62*S51)*2</f>
        <v>-642.73440000000005</v>
      </c>
    </row>
    <row r="63" spans="1:20" x14ac:dyDescent="0.25">
      <c r="A63" s="5">
        <v>45870</v>
      </c>
      <c r="B63" s="6">
        <v>3907.2</v>
      </c>
      <c r="C63" s="6">
        <v>280</v>
      </c>
      <c r="D63" s="20" t="s">
        <v>31</v>
      </c>
      <c r="E63" s="6" t="s">
        <v>21</v>
      </c>
      <c r="F63" s="55">
        <v>598</v>
      </c>
      <c r="G63" s="55">
        <v>595.87099999999998</v>
      </c>
      <c r="H63" s="17">
        <v>0</v>
      </c>
      <c r="I63" s="17">
        <f t="shared" si="8"/>
        <v>2.1290000000000191</v>
      </c>
      <c r="J63" s="6"/>
      <c r="K63" s="6">
        <v>0</v>
      </c>
      <c r="L63" s="6"/>
      <c r="M63" s="6"/>
      <c r="N63" s="17">
        <f t="shared" si="9"/>
        <v>9.24</v>
      </c>
      <c r="O63" s="11">
        <f>N63*R51</f>
        <v>246.80040000000002</v>
      </c>
      <c r="P63" s="11">
        <f>N63*S51*2</f>
        <v>642.73440000000005</v>
      </c>
      <c r="Q63" s="50"/>
      <c r="R63" s="7"/>
      <c r="S63" s="36">
        <f>-(N63*R51)</f>
        <v>-246.80040000000002</v>
      </c>
      <c r="T63" s="36">
        <f>-(N63*S51)*2</f>
        <v>-642.73440000000005</v>
      </c>
    </row>
    <row r="64" spans="1:20" x14ac:dyDescent="0.25">
      <c r="A64" s="5">
        <v>45901</v>
      </c>
      <c r="B64" s="6">
        <v>3907.2</v>
      </c>
      <c r="C64" s="6">
        <v>280</v>
      </c>
      <c r="D64" s="20" t="s">
        <v>31</v>
      </c>
      <c r="E64" s="6" t="s">
        <v>21</v>
      </c>
      <c r="F64" s="55">
        <v>578</v>
      </c>
      <c r="G64" s="55">
        <v>587.78599999999994</v>
      </c>
      <c r="H64" s="17">
        <v>0</v>
      </c>
      <c r="I64" s="17">
        <f t="shared" si="8"/>
        <v>-9.7859999999999445</v>
      </c>
      <c r="J64" s="6"/>
      <c r="K64" s="6">
        <v>0</v>
      </c>
      <c r="L64" s="6"/>
      <c r="M64" s="6"/>
      <c r="N64" s="17">
        <f t="shared" si="9"/>
        <v>9.24</v>
      </c>
      <c r="O64" s="11">
        <f>N64*R51</f>
        <v>246.80040000000002</v>
      </c>
      <c r="P64" s="11">
        <f>N64*S51*2</f>
        <v>642.73440000000005</v>
      </c>
      <c r="Q64" s="50"/>
      <c r="R64" s="7"/>
      <c r="S64" s="36">
        <f>-(N64*R51)</f>
        <v>-246.80040000000002</v>
      </c>
      <c r="T64" s="36">
        <f>-(N64*S51)*2</f>
        <v>-642.73440000000005</v>
      </c>
    </row>
    <row r="65" spans="1:20" x14ac:dyDescent="0.25">
      <c r="A65" s="5">
        <v>45931</v>
      </c>
      <c r="B65" s="6">
        <v>3907.2</v>
      </c>
      <c r="C65" s="6">
        <v>280</v>
      </c>
      <c r="D65" s="20" t="s">
        <v>31</v>
      </c>
      <c r="E65" s="6" t="s">
        <v>21</v>
      </c>
      <c r="F65" s="55">
        <v>543</v>
      </c>
      <c r="G65" s="55">
        <v>609.43299999999999</v>
      </c>
      <c r="H65" s="17">
        <v>0</v>
      </c>
      <c r="I65" s="17">
        <f t="shared" si="8"/>
        <v>-66.432999999999993</v>
      </c>
      <c r="J65" s="6"/>
      <c r="K65" s="6">
        <v>0</v>
      </c>
      <c r="L65" s="6"/>
      <c r="M65" s="6"/>
      <c r="N65" s="17">
        <f t="shared" si="9"/>
        <v>9.24</v>
      </c>
      <c r="O65" s="11">
        <f>N65*R51</f>
        <v>246.80040000000002</v>
      </c>
      <c r="P65" s="11">
        <f>N65*S51*2</f>
        <v>642.73440000000005</v>
      </c>
      <c r="Q65" s="50"/>
      <c r="R65" s="7"/>
      <c r="S65" s="36">
        <f>-(N65*R51)</f>
        <v>-246.80040000000002</v>
      </c>
      <c r="T65" s="36">
        <f>-(N65*S51)*2</f>
        <v>-642.73440000000005</v>
      </c>
    </row>
    <row r="66" spans="1:20" x14ac:dyDescent="0.25">
      <c r="A66" s="5">
        <v>45962</v>
      </c>
      <c r="B66" s="6">
        <v>3907.2</v>
      </c>
      <c r="C66" s="6">
        <v>280</v>
      </c>
      <c r="D66" s="20" t="s">
        <v>31</v>
      </c>
      <c r="E66" s="6" t="s">
        <v>21</v>
      </c>
      <c r="F66" s="55">
        <v>591</v>
      </c>
      <c r="G66" s="55">
        <v>594.42600000000004</v>
      </c>
      <c r="H66" s="17">
        <v>0</v>
      </c>
      <c r="I66" s="17">
        <f t="shared" si="8"/>
        <v>-3.4260000000000446</v>
      </c>
      <c r="J66" s="6"/>
      <c r="K66" s="6">
        <v>0</v>
      </c>
      <c r="L66" s="6"/>
      <c r="M66" s="6"/>
      <c r="N66" s="17">
        <f t="shared" si="9"/>
        <v>9.24</v>
      </c>
      <c r="O66" s="11">
        <f>N66*R51</f>
        <v>246.80040000000002</v>
      </c>
      <c r="P66" s="11">
        <f>N66*S51*2</f>
        <v>642.73440000000005</v>
      </c>
      <c r="Q66" s="50"/>
      <c r="R66" s="7"/>
      <c r="S66" s="36">
        <f>-(N66*R51)</f>
        <v>-246.80040000000002</v>
      </c>
      <c r="T66" s="36">
        <f>-(N66*S51)*2</f>
        <v>-642.73440000000005</v>
      </c>
    </row>
    <row r="67" spans="1:20" x14ac:dyDescent="0.25">
      <c r="A67" s="5">
        <v>45992</v>
      </c>
      <c r="B67" s="6">
        <v>3907.2</v>
      </c>
      <c r="C67" s="6">
        <v>280</v>
      </c>
      <c r="D67" s="20" t="s">
        <v>31</v>
      </c>
      <c r="E67" s="6" t="s">
        <v>21</v>
      </c>
      <c r="F67" s="55">
        <v>466</v>
      </c>
      <c r="G67" s="55">
        <v>633.59</v>
      </c>
      <c r="H67" s="17">
        <v>0</v>
      </c>
      <c r="I67" s="17">
        <f t="shared" si="8"/>
        <v>-167.59000000000003</v>
      </c>
      <c r="J67" s="6"/>
      <c r="K67" s="6">
        <v>0</v>
      </c>
      <c r="L67" s="6"/>
      <c r="M67" s="6"/>
      <c r="N67" s="17">
        <f t="shared" si="9"/>
        <v>9.24</v>
      </c>
      <c r="O67" s="11">
        <f>N67*R51</f>
        <v>246.80040000000002</v>
      </c>
      <c r="P67" s="11">
        <f>N67*S51*2</f>
        <v>642.73440000000005</v>
      </c>
      <c r="Q67" s="50"/>
      <c r="R67" s="7"/>
      <c r="S67" s="36">
        <f>-(N67*R51)</f>
        <v>-246.80040000000002</v>
      </c>
      <c r="T67" s="36">
        <f>-(N67*S51)*2</f>
        <v>-642.73440000000005</v>
      </c>
    </row>
    <row r="68" spans="1:20" x14ac:dyDescent="0.25">
      <c r="A68" s="62"/>
      <c r="B68" s="1"/>
      <c r="C68" s="1"/>
      <c r="N68" s="60">
        <f>SUM(N56:N67)</f>
        <v>110.87999999999998</v>
      </c>
      <c r="O68" s="39">
        <f>SUM(O56:O67)</f>
        <v>2781.4248000000007</v>
      </c>
      <c r="P68" s="39">
        <f>SUM(P56:P67)</f>
        <v>7294.7952000000014</v>
      </c>
      <c r="Q68" s="41"/>
      <c r="R68" s="41"/>
      <c r="S68" s="39">
        <f>SUM(S56:S67)</f>
        <v>-2781.4248000000007</v>
      </c>
      <c r="T68" s="39">
        <f>SUM(T56:T67)</f>
        <v>-7294.7952000000014</v>
      </c>
    </row>
    <row r="69" spans="1:20" x14ac:dyDescent="0.25">
      <c r="A69" s="62"/>
      <c r="B69" s="1"/>
      <c r="C69" s="1"/>
      <c r="O69" s="41"/>
      <c r="P69" s="41"/>
      <c r="Q69" s="41"/>
      <c r="R69" s="41" t="s">
        <v>41</v>
      </c>
      <c r="T69" s="41"/>
    </row>
    <row r="70" spans="1:20" x14ac:dyDescent="0.25">
      <c r="A70" s="62"/>
      <c r="B70" s="1"/>
      <c r="C70" s="1"/>
      <c r="O70" s="41"/>
      <c r="P70" s="41"/>
      <c r="Q70" s="41"/>
      <c r="R70" s="41"/>
      <c r="S70" s="41"/>
      <c r="T70" s="42">
        <f>S68+T68</f>
        <v>-10076.220000000001</v>
      </c>
    </row>
  </sheetData>
  <sheetProtection algorithmName="SHA-512" hashValue="YbJpM2/u2dLVd9Zb+aIExz0qggW7i/srFDTA4skaRf0r8Mlez/cIsCv/P74Lz+bBhIkFeA0cg9AH+q+EIXBmbw==" saltValue="hLgqkK+gb4TKKxnmAYsEUQ==" spinCount="100000" sheet="1" objects="1" scenarios="1" selectLockedCells="1" selectUnlockedCells="1"/>
  <mergeCells count="43">
    <mergeCell ref="J8:K8"/>
    <mergeCell ref="H3:M3"/>
    <mergeCell ref="H4:M4"/>
    <mergeCell ref="A1:Q1"/>
    <mergeCell ref="L5:L6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T5:T6"/>
    <mergeCell ref="J5:K5"/>
    <mergeCell ref="G5:G6"/>
    <mergeCell ref="H5:H6"/>
    <mergeCell ref="Q5:R5"/>
    <mergeCell ref="I5:I6"/>
    <mergeCell ref="S5:S6"/>
    <mergeCell ref="P5:P6"/>
    <mergeCell ref="A51:D51"/>
    <mergeCell ref="H51:M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K52"/>
    <mergeCell ref="L52:L53"/>
    <mergeCell ref="M52:M53"/>
    <mergeCell ref="T52:T53"/>
    <mergeCell ref="N52:N53"/>
    <mergeCell ref="O52:O53"/>
    <mergeCell ref="P52:P53"/>
    <mergeCell ref="Q52:R52"/>
    <mergeCell ref="S52:S53"/>
  </mergeCells>
  <pageMargins left="0.25" right="0.25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opLeftCell="A50" zoomScale="70" zoomScaleNormal="70" workbookViewId="0">
      <selection activeCell="O79" sqref="O79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2" hidden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2" hidden="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58" t="s">
        <v>21</v>
      </c>
      <c r="R2" s="58" t="s">
        <v>33</v>
      </c>
    </row>
    <row r="3" spans="1:22" ht="18.75" hidden="1" x14ac:dyDescent="0.25">
      <c r="A3" s="68" t="s">
        <v>17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  <c r="Q3" s="59">
        <v>21.16</v>
      </c>
      <c r="R3" s="57">
        <v>29.02</v>
      </c>
    </row>
    <row r="4" spans="1:22" hidden="1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  <c r="Q4" s="57">
        <v>23.46</v>
      </c>
      <c r="R4" s="57">
        <v>31.01</v>
      </c>
    </row>
    <row r="5" spans="1:22" ht="83.25" hidden="1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2" ht="92.25" hidden="1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2" hidden="1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2" hidden="1" x14ac:dyDescent="0.25">
      <c r="A8" s="5">
        <v>44805</v>
      </c>
      <c r="B8" s="8">
        <v>4689.3</v>
      </c>
      <c r="C8" s="8">
        <v>423.2</v>
      </c>
      <c r="D8" s="10">
        <v>14555428</v>
      </c>
      <c r="E8" s="8" t="s">
        <v>21</v>
      </c>
      <c r="F8" s="52">
        <v>792</v>
      </c>
      <c r="G8" s="23">
        <v>878.00800000000004</v>
      </c>
      <c r="H8" s="23"/>
      <c r="I8" s="16">
        <f t="shared" ref="I8:I11" si="0">F8-(G8+H8)</f>
        <v>-86.008000000000038</v>
      </c>
      <c r="J8" s="8"/>
      <c r="K8" s="37">
        <v>0</v>
      </c>
      <c r="L8" s="8"/>
      <c r="M8" s="8"/>
      <c r="N8" s="18">
        <v>13.542</v>
      </c>
      <c r="O8" s="9">
        <f>N8*O3</f>
        <v>238.88087999999999</v>
      </c>
      <c r="P8" s="9">
        <f>N8*P3</f>
        <v>364.68606</v>
      </c>
      <c r="Q8" s="23">
        <f>N8</f>
        <v>13.542</v>
      </c>
      <c r="R8" s="8"/>
      <c r="S8" s="36">
        <f>-(Q8*O3)</f>
        <v>-238.88087999999999</v>
      </c>
      <c r="T8" s="36">
        <f>-(Q8*P3)</f>
        <v>-364.68606</v>
      </c>
    </row>
    <row r="9" spans="1:22" hidden="1" x14ac:dyDescent="0.25">
      <c r="A9" s="5">
        <v>44835</v>
      </c>
      <c r="B9" s="8">
        <v>4689.3</v>
      </c>
      <c r="C9" s="8">
        <v>423.2</v>
      </c>
      <c r="D9" s="10">
        <v>14555428</v>
      </c>
      <c r="E9" s="8" t="s">
        <v>21</v>
      </c>
      <c r="F9" s="52">
        <v>667</v>
      </c>
      <c r="G9" s="23">
        <v>844.83500000000004</v>
      </c>
      <c r="H9" s="23"/>
      <c r="I9" s="16">
        <f t="shared" si="0"/>
        <v>-177.83500000000004</v>
      </c>
      <c r="J9" s="7"/>
      <c r="K9" s="7">
        <v>0</v>
      </c>
      <c r="L9" s="13"/>
      <c r="M9" s="13"/>
      <c r="N9" s="18">
        <v>13.542</v>
      </c>
      <c r="O9" s="9">
        <f>N9*O3</f>
        <v>238.88087999999999</v>
      </c>
      <c r="P9" s="9">
        <f>N9*P3</f>
        <v>364.68606</v>
      </c>
      <c r="Q9" s="23">
        <f t="shared" ref="Q9:Q11" si="1">N9</f>
        <v>13.542</v>
      </c>
      <c r="R9" s="7"/>
      <c r="S9" s="36">
        <f>-(Q9*O3)</f>
        <v>-238.88087999999999</v>
      </c>
      <c r="T9" s="36">
        <f>-(Q9*P3)</f>
        <v>-364.68606</v>
      </c>
    </row>
    <row r="10" spans="1:22" hidden="1" x14ac:dyDescent="0.25">
      <c r="A10" s="5">
        <v>44866</v>
      </c>
      <c r="B10" s="8">
        <v>4689.3</v>
      </c>
      <c r="C10" s="8">
        <v>423.2</v>
      </c>
      <c r="D10" s="10">
        <v>14555428</v>
      </c>
      <c r="E10" s="8" t="s">
        <v>21</v>
      </c>
      <c r="F10" s="53">
        <v>739</v>
      </c>
      <c r="G10" s="25">
        <v>795.8</v>
      </c>
      <c r="H10" s="24"/>
      <c r="I10" s="16">
        <f t="shared" si="0"/>
        <v>-56.799999999999955</v>
      </c>
      <c r="J10" s="7"/>
      <c r="K10" s="7">
        <v>0</v>
      </c>
      <c r="L10" s="7"/>
      <c r="M10" s="7"/>
      <c r="N10" s="18">
        <v>13.542</v>
      </c>
      <c r="O10" s="9">
        <f>N10*O3</f>
        <v>238.88087999999999</v>
      </c>
      <c r="P10" s="9">
        <f>N10*P3</f>
        <v>364.68606</v>
      </c>
      <c r="Q10" s="23">
        <f t="shared" si="1"/>
        <v>13.542</v>
      </c>
      <c r="R10" s="7"/>
      <c r="S10" s="36">
        <f>-(Q10*O3)</f>
        <v>-238.88087999999999</v>
      </c>
      <c r="T10" s="36">
        <f>-(Q10*P3)</f>
        <v>-364.68606</v>
      </c>
    </row>
    <row r="11" spans="1:22" hidden="1" x14ac:dyDescent="0.25">
      <c r="A11" s="5">
        <v>44896</v>
      </c>
      <c r="B11" s="6">
        <v>4689.3</v>
      </c>
      <c r="C11" s="6">
        <v>423.2</v>
      </c>
      <c r="D11" s="10">
        <v>14555428</v>
      </c>
      <c r="E11" s="6" t="s">
        <v>21</v>
      </c>
      <c r="F11" s="53">
        <v>691</v>
      </c>
      <c r="G11" s="25">
        <v>881.28800000000001</v>
      </c>
      <c r="H11" s="24"/>
      <c r="I11" s="17">
        <f t="shared" si="0"/>
        <v>-190.28800000000001</v>
      </c>
      <c r="J11" s="7"/>
      <c r="K11" s="7">
        <v>0</v>
      </c>
      <c r="L11" s="7"/>
      <c r="M11" s="7"/>
      <c r="N11" s="19">
        <v>13.542</v>
      </c>
      <c r="O11" s="11">
        <f>N11*O4</f>
        <v>286.54872</v>
      </c>
      <c r="P11" s="11">
        <f>N11*P4</f>
        <v>392.98883999999998</v>
      </c>
      <c r="Q11" s="25">
        <f t="shared" si="1"/>
        <v>13.542</v>
      </c>
      <c r="R11" s="7"/>
      <c r="S11" s="36">
        <f>-(Q11*O4)</f>
        <v>-286.54872</v>
      </c>
      <c r="T11" s="36">
        <f>-(Q11*P4)</f>
        <v>-392.98883999999998</v>
      </c>
    </row>
    <row r="12" spans="1:22" hidden="1" x14ac:dyDescent="0.25">
      <c r="B12" s="1"/>
      <c r="C12" s="1"/>
      <c r="F12" s="54"/>
      <c r="O12" s="39">
        <f>SUM(O8:O11)</f>
        <v>1003.19136</v>
      </c>
      <c r="P12" s="48">
        <f>SUM(P8:P11)</f>
        <v>1487.04702</v>
      </c>
      <c r="Q12" s="41"/>
      <c r="R12" s="41"/>
      <c r="S12" s="42">
        <f>SUM(S8:S11)</f>
        <v>-1003.19136</v>
      </c>
      <c r="T12" s="42">
        <f>SUM(T8:T11)</f>
        <v>-1487.04702</v>
      </c>
    </row>
    <row r="13" spans="1:22" hidden="1" x14ac:dyDescent="0.25">
      <c r="B13" s="1"/>
      <c r="C13" s="1"/>
      <c r="F13" s="54"/>
      <c r="O13" s="41"/>
      <c r="P13" s="41"/>
      <c r="Q13" s="41"/>
      <c r="R13" s="41" t="s">
        <v>41</v>
      </c>
      <c r="T13" s="41"/>
    </row>
    <row r="14" spans="1:22" hidden="1" x14ac:dyDescent="0.25">
      <c r="B14" s="1"/>
      <c r="C14" s="1"/>
      <c r="F14" s="54"/>
      <c r="O14" s="41"/>
      <c r="P14" s="41"/>
      <c r="Q14" s="41"/>
      <c r="R14" s="41"/>
      <c r="S14" s="41"/>
      <c r="T14" s="42">
        <f>S12+T12</f>
        <v>-2490.2383799999998</v>
      </c>
    </row>
    <row r="15" spans="1:22" hidden="1" x14ac:dyDescent="0.25">
      <c r="A15" s="5">
        <v>44927</v>
      </c>
      <c r="B15" s="6">
        <v>4689.3</v>
      </c>
      <c r="C15" s="6">
        <v>423.2</v>
      </c>
      <c r="D15" s="10">
        <v>14555428</v>
      </c>
      <c r="E15" s="6" t="s">
        <v>21</v>
      </c>
      <c r="F15" s="55">
        <v>818</v>
      </c>
      <c r="G15" s="17">
        <v>872.60299999999995</v>
      </c>
      <c r="H15" s="22"/>
      <c r="I15" s="17">
        <f t="shared" ref="I15:I26" si="2">F15-(G15+H15)</f>
        <v>-54.602999999999952</v>
      </c>
      <c r="J15" s="7"/>
      <c r="K15" s="6">
        <v>0</v>
      </c>
      <c r="L15" s="7"/>
      <c r="M15" s="7"/>
      <c r="N15" s="19">
        <v>13.542</v>
      </c>
      <c r="O15" s="11">
        <f>N15*O4</f>
        <v>286.54872</v>
      </c>
      <c r="P15" s="11">
        <f>N15*P4</f>
        <v>392.98883999999998</v>
      </c>
      <c r="Q15" s="25">
        <f t="shared" ref="Q15" si="3">N15</f>
        <v>13.542</v>
      </c>
      <c r="R15" s="7"/>
      <c r="S15" s="36">
        <f>-(Q15*O4)</f>
        <v>-286.54872</v>
      </c>
      <c r="T15" s="36">
        <f>-(Q15*P4)</f>
        <v>-392.98883999999998</v>
      </c>
    </row>
    <row r="16" spans="1:22" hidden="1" x14ac:dyDescent="0.25">
      <c r="A16" s="5">
        <v>44958</v>
      </c>
      <c r="B16" s="6">
        <v>4689.3</v>
      </c>
      <c r="C16" s="6">
        <v>423.2</v>
      </c>
      <c r="D16" s="10">
        <v>14555428</v>
      </c>
      <c r="E16" s="6" t="s">
        <v>21</v>
      </c>
      <c r="F16" s="55">
        <v>690</v>
      </c>
      <c r="G16" s="17">
        <v>1337.8620000000001</v>
      </c>
      <c r="H16" s="22"/>
      <c r="I16" s="17">
        <f t="shared" si="2"/>
        <v>-647.86200000000008</v>
      </c>
      <c r="J16" s="7"/>
      <c r="K16" s="6">
        <v>0</v>
      </c>
      <c r="L16" s="7"/>
      <c r="M16" s="7"/>
      <c r="N16" s="19">
        <v>13.542</v>
      </c>
      <c r="O16" s="11">
        <f>N16*O4</f>
        <v>286.54872</v>
      </c>
      <c r="P16" s="11">
        <f>N16*P4</f>
        <v>392.98883999999998</v>
      </c>
      <c r="Q16" s="25">
        <f t="shared" ref="Q16:Q26" si="4">N16</f>
        <v>13.542</v>
      </c>
      <c r="R16" s="7"/>
      <c r="S16" s="36">
        <f>-(Q16*O4)</f>
        <v>-286.54872</v>
      </c>
      <c r="T16" s="36">
        <f>-(Q16*P4)</f>
        <v>-392.98883999999998</v>
      </c>
      <c r="U16" s="41"/>
      <c r="V16" s="41"/>
    </row>
    <row r="17" spans="1:22" hidden="1" x14ac:dyDescent="0.25">
      <c r="A17" s="5">
        <v>44986</v>
      </c>
      <c r="B17" s="6">
        <v>4689.3</v>
      </c>
      <c r="C17" s="6">
        <v>423.2</v>
      </c>
      <c r="D17" s="10">
        <v>14555428</v>
      </c>
      <c r="E17" s="6" t="s">
        <v>21</v>
      </c>
      <c r="F17" s="55">
        <v>707</v>
      </c>
      <c r="G17" s="17">
        <v>690.95899999999995</v>
      </c>
      <c r="H17" s="22"/>
      <c r="I17" s="17">
        <f>F17-(G17+H17)</f>
        <v>16.041000000000054</v>
      </c>
      <c r="J17" s="7"/>
      <c r="K17" s="6">
        <v>0</v>
      </c>
      <c r="L17" s="7"/>
      <c r="M17" s="7"/>
      <c r="N17" s="19">
        <v>13.542</v>
      </c>
      <c r="O17" s="11">
        <f>N17*O4</f>
        <v>286.54872</v>
      </c>
      <c r="P17" s="11">
        <f>N17*P4</f>
        <v>392.98883999999998</v>
      </c>
      <c r="Q17" s="25">
        <f t="shared" si="4"/>
        <v>13.542</v>
      </c>
      <c r="R17" s="7"/>
      <c r="S17" s="36">
        <f>-(Q17*O4)</f>
        <v>-286.54872</v>
      </c>
      <c r="T17" s="36">
        <f>-(Q17*P4)</f>
        <v>-392.98883999999998</v>
      </c>
      <c r="U17" s="41"/>
      <c r="V17" s="41"/>
    </row>
    <row r="18" spans="1:22" hidden="1" x14ac:dyDescent="0.25">
      <c r="A18" s="5">
        <v>45017</v>
      </c>
      <c r="B18" s="6">
        <v>4689.3</v>
      </c>
      <c r="C18" s="6">
        <v>423.2</v>
      </c>
      <c r="D18" s="10">
        <v>14555428</v>
      </c>
      <c r="E18" s="6" t="s">
        <v>21</v>
      </c>
      <c r="F18" s="55">
        <v>758</v>
      </c>
      <c r="G18" s="17">
        <v>842.721</v>
      </c>
      <c r="H18" s="22"/>
      <c r="I18" s="17">
        <f t="shared" si="2"/>
        <v>-84.721000000000004</v>
      </c>
      <c r="J18" s="7"/>
      <c r="K18" s="6">
        <v>0</v>
      </c>
      <c r="L18" s="7"/>
      <c r="M18" s="7"/>
      <c r="N18" s="19">
        <v>13.542</v>
      </c>
      <c r="O18" s="11">
        <f>N18*O4</f>
        <v>286.54872</v>
      </c>
      <c r="P18" s="11">
        <f>N18*P4</f>
        <v>392.98883999999998</v>
      </c>
      <c r="Q18" s="25">
        <f t="shared" si="4"/>
        <v>13.542</v>
      </c>
      <c r="R18" s="7"/>
      <c r="S18" s="36">
        <f>-(Q18*O4)</f>
        <v>-286.54872</v>
      </c>
      <c r="T18" s="36">
        <f>-(Q18*P4)</f>
        <v>-392.98883999999998</v>
      </c>
    </row>
    <row r="19" spans="1:22" hidden="1" x14ac:dyDescent="0.25">
      <c r="A19" s="5">
        <v>45047</v>
      </c>
      <c r="B19" s="6">
        <v>4689.3</v>
      </c>
      <c r="C19" s="6">
        <v>423.2</v>
      </c>
      <c r="D19" s="10">
        <v>14555428</v>
      </c>
      <c r="E19" s="6" t="s">
        <v>21</v>
      </c>
      <c r="F19" s="55">
        <v>690</v>
      </c>
      <c r="G19" s="17">
        <v>1128.175</v>
      </c>
      <c r="H19" s="22"/>
      <c r="I19" s="17">
        <f t="shared" si="2"/>
        <v>-438.17499999999995</v>
      </c>
      <c r="J19" s="7"/>
      <c r="K19" s="6">
        <v>0</v>
      </c>
      <c r="L19" s="7"/>
      <c r="M19" s="7"/>
      <c r="N19" s="19">
        <v>13.542</v>
      </c>
      <c r="O19" s="11">
        <f>N19*O4</f>
        <v>286.54872</v>
      </c>
      <c r="P19" s="11">
        <f>N19*P4</f>
        <v>392.98883999999998</v>
      </c>
      <c r="Q19" s="25">
        <f t="shared" si="4"/>
        <v>13.542</v>
      </c>
      <c r="R19" s="7"/>
      <c r="S19" s="36">
        <f>-(Q19*O4)</f>
        <v>-286.54872</v>
      </c>
      <c r="T19" s="36">
        <f>-(Q19*P4)</f>
        <v>-392.98883999999998</v>
      </c>
    </row>
    <row r="20" spans="1:22" hidden="1" x14ac:dyDescent="0.25">
      <c r="A20" s="5">
        <v>45078</v>
      </c>
      <c r="B20" s="6">
        <v>4689.3</v>
      </c>
      <c r="C20" s="6">
        <v>423.2</v>
      </c>
      <c r="D20" s="10">
        <v>14555428</v>
      </c>
      <c r="E20" s="6" t="s">
        <v>21</v>
      </c>
      <c r="F20" s="55">
        <v>651</v>
      </c>
      <c r="G20" s="17">
        <v>807.48099999999999</v>
      </c>
      <c r="H20" s="22"/>
      <c r="I20" s="17">
        <f t="shared" si="2"/>
        <v>-156.48099999999999</v>
      </c>
      <c r="J20" s="7"/>
      <c r="K20" s="6">
        <v>0</v>
      </c>
      <c r="L20" s="7"/>
      <c r="M20" s="7"/>
      <c r="N20" s="19">
        <v>13.542</v>
      </c>
      <c r="O20" s="11">
        <f>N20*O4</f>
        <v>286.54872</v>
      </c>
      <c r="P20" s="11">
        <f>N20*P4</f>
        <v>392.98883999999998</v>
      </c>
      <c r="Q20" s="25">
        <f t="shared" si="4"/>
        <v>13.542</v>
      </c>
      <c r="R20" s="7"/>
      <c r="S20" s="36">
        <f>-(Q20*O4)</f>
        <v>-286.54872</v>
      </c>
      <c r="T20" s="36">
        <f>-(Q20*P4)</f>
        <v>-392.98883999999998</v>
      </c>
    </row>
    <row r="21" spans="1:22" hidden="1" x14ac:dyDescent="0.25">
      <c r="A21" s="5">
        <v>45108</v>
      </c>
      <c r="B21" s="6">
        <v>4689.3</v>
      </c>
      <c r="C21" s="6">
        <v>423.2</v>
      </c>
      <c r="D21" s="10">
        <v>14555428</v>
      </c>
      <c r="E21" s="6" t="s">
        <v>21</v>
      </c>
      <c r="F21" s="55">
        <v>650</v>
      </c>
      <c r="G21" s="17">
        <v>862.09500000000003</v>
      </c>
      <c r="H21" s="22"/>
      <c r="I21" s="17">
        <f t="shared" si="2"/>
        <v>-212.09500000000003</v>
      </c>
      <c r="J21" s="7"/>
      <c r="K21" s="6">
        <v>0</v>
      </c>
      <c r="L21" s="7"/>
      <c r="M21" s="7"/>
      <c r="N21" s="19">
        <v>13.542</v>
      </c>
      <c r="O21" s="11">
        <f>N21*O4</f>
        <v>286.54872</v>
      </c>
      <c r="P21" s="11">
        <f>N21*P4</f>
        <v>392.98883999999998</v>
      </c>
      <c r="Q21" s="25">
        <f t="shared" si="4"/>
        <v>13.542</v>
      </c>
      <c r="R21" s="7"/>
      <c r="S21" s="36">
        <f>-(Q21*O4)</f>
        <v>-286.54872</v>
      </c>
      <c r="T21" s="36">
        <f>-(Q21*P4)</f>
        <v>-392.98883999999998</v>
      </c>
    </row>
    <row r="22" spans="1:22" hidden="1" x14ac:dyDescent="0.25">
      <c r="A22" s="5">
        <v>45139</v>
      </c>
      <c r="B22" s="6">
        <v>4689.3</v>
      </c>
      <c r="C22" s="6">
        <v>423.2</v>
      </c>
      <c r="D22" s="10">
        <v>14555428</v>
      </c>
      <c r="E22" s="6" t="s">
        <v>21</v>
      </c>
      <c r="F22" s="55">
        <v>799</v>
      </c>
      <c r="G22" s="17">
        <v>873.86599999999999</v>
      </c>
      <c r="H22" s="22"/>
      <c r="I22" s="17">
        <f t="shared" si="2"/>
        <v>-74.865999999999985</v>
      </c>
      <c r="J22" s="7"/>
      <c r="K22" s="6">
        <v>0</v>
      </c>
      <c r="L22" s="7"/>
      <c r="M22" s="7"/>
      <c r="N22" s="19">
        <v>13.542</v>
      </c>
      <c r="O22" s="11">
        <f>N22*O4</f>
        <v>286.54872</v>
      </c>
      <c r="P22" s="11">
        <f>N22*P4</f>
        <v>392.98883999999998</v>
      </c>
      <c r="Q22" s="25">
        <f t="shared" si="4"/>
        <v>13.542</v>
      </c>
      <c r="R22" s="7"/>
      <c r="S22" s="36">
        <f>-(Q22*O4)</f>
        <v>-286.54872</v>
      </c>
      <c r="T22" s="36">
        <f>-(Q22*P4)</f>
        <v>-392.98883999999998</v>
      </c>
    </row>
    <row r="23" spans="1:22" hidden="1" x14ac:dyDescent="0.25">
      <c r="A23" s="5">
        <v>45170</v>
      </c>
      <c r="B23" s="6">
        <v>4689.3</v>
      </c>
      <c r="C23" s="6">
        <v>423.2</v>
      </c>
      <c r="D23" s="10">
        <v>14555428</v>
      </c>
      <c r="E23" s="6" t="s">
        <v>21</v>
      </c>
      <c r="F23" s="55">
        <v>664</v>
      </c>
      <c r="G23" s="17">
        <v>891.47500000000002</v>
      </c>
      <c r="H23" s="22"/>
      <c r="I23" s="17">
        <f t="shared" si="2"/>
        <v>-227.47500000000002</v>
      </c>
      <c r="J23" s="7"/>
      <c r="K23" s="6">
        <v>0</v>
      </c>
      <c r="L23" s="7"/>
      <c r="M23" s="7"/>
      <c r="N23" s="19">
        <v>13.542</v>
      </c>
      <c r="O23" s="11">
        <f>N23*O4</f>
        <v>286.54872</v>
      </c>
      <c r="P23" s="11">
        <f>N23*P4</f>
        <v>392.98883999999998</v>
      </c>
      <c r="Q23" s="25">
        <f t="shared" si="4"/>
        <v>13.542</v>
      </c>
      <c r="R23" s="7"/>
      <c r="S23" s="36">
        <f>-(Q23*O4)</f>
        <v>-286.54872</v>
      </c>
      <c r="T23" s="36">
        <f>-(Q23*P4)</f>
        <v>-392.98883999999998</v>
      </c>
    </row>
    <row r="24" spans="1:22" hidden="1" x14ac:dyDescent="0.25">
      <c r="A24" s="5">
        <v>45200</v>
      </c>
      <c r="B24" s="6">
        <v>4689.3</v>
      </c>
      <c r="C24" s="6">
        <v>423.2</v>
      </c>
      <c r="D24" s="10">
        <v>14555428</v>
      </c>
      <c r="E24" s="6" t="s">
        <v>21</v>
      </c>
      <c r="F24" s="55">
        <v>753</v>
      </c>
      <c r="G24" s="17">
        <v>858.85599999999999</v>
      </c>
      <c r="H24" s="22"/>
      <c r="I24" s="17">
        <f t="shared" si="2"/>
        <v>-105.85599999999999</v>
      </c>
      <c r="J24" s="7"/>
      <c r="K24" s="6">
        <v>0</v>
      </c>
      <c r="L24" s="7"/>
      <c r="M24" s="7"/>
      <c r="N24" s="19">
        <v>13.542</v>
      </c>
      <c r="O24" s="11">
        <f>N24*O4</f>
        <v>286.54872</v>
      </c>
      <c r="P24" s="11">
        <f>N24*P4</f>
        <v>392.98883999999998</v>
      </c>
      <c r="Q24" s="25">
        <f t="shared" si="4"/>
        <v>13.542</v>
      </c>
      <c r="R24" s="7"/>
      <c r="S24" s="36">
        <f>-(Q24*O4)</f>
        <v>-286.54872</v>
      </c>
      <c r="T24" s="36">
        <f>-(Q24*P4)</f>
        <v>-392.98883999999998</v>
      </c>
    </row>
    <row r="25" spans="1:22" hidden="1" x14ac:dyDescent="0.25">
      <c r="A25" s="5">
        <v>45231</v>
      </c>
      <c r="B25" s="6">
        <v>4689.3</v>
      </c>
      <c r="C25" s="6">
        <v>423.2</v>
      </c>
      <c r="D25" s="10">
        <v>14555428</v>
      </c>
      <c r="E25" s="6" t="s">
        <v>21</v>
      </c>
      <c r="F25" s="55">
        <v>741</v>
      </c>
      <c r="G25" s="17">
        <v>875.31399999999996</v>
      </c>
      <c r="H25" s="22"/>
      <c r="I25" s="17">
        <f t="shared" si="2"/>
        <v>-134.31399999999996</v>
      </c>
      <c r="J25" s="7"/>
      <c r="K25" s="6">
        <v>0</v>
      </c>
      <c r="L25" s="7"/>
      <c r="M25" s="7"/>
      <c r="N25" s="19">
        <v>13.542</v>
      </c>
      <c r="O25" s="11">
        <f>N25*O4</f>
        <v>286.54872</v>
      </c>
      <c r="P25" s="11">
        <f>N25*P4</f>
        <v>392.98883999999998</v>
      </c>
      <c r="Q25" s="25">
        <f t="shared" si="4"/>
        <v>13.542</v>
      </c>
      <c r="R25" s="7"/>
      <c r="S25" s="36">
        <f>-(Q25*O4)</f>
        <v>-286.54872</v>
      </c>
      <c r="T25" s="36">
        <f>-(Q25*P4)</f>
        <v>-392.98883999999998</v>
      </c>
    </row>
    <row r="26" spans="1:22" hidden="1" x14ac:dyDescent="0.25">
      <c r="A26" s="5">
        <v>45261</v>
      </c>
      <c r="B26" s="6">
        <v>4689.3</v>
      </c>
      <c r="C26" s="6">
        <v>423.2</v>
      </c>
      <c r="D26" s="10">
        <v>14555428</v>
      </c>
      <c r="E26" s="6" t="s">
        <v>21</v>
      </c>
      <c r="F26" s="55">
        <v>703</v>
      </c>
      <c r="G26" s="17">
        <v>931.75599999999997</v>
      </c>
      <c r="H26" s="22"/>
      <c r="I26" s="17">
        <f t="shared" si="2"/>
        <v>-228.75599999999997</v>
      </c>
      <c r="J26" s="7"/>
      <c r="K26" s="6">
        <v>0</v>
      </c>
      <c r="L26" s="7"/>
      <c r="M26" s="7"/>
      <c r="N26" s="19">
        <v>13.542</v>
      </c>
      <c r="O26" s="11">
        <f>N26*O4</f>
        <v>286.54872</v>
      </c>
      <c r="P26" s="11">
        <f>N26*P4</f>
        <v>392.98883999999998</v>
      </c>
      <c r="Q26" s="25">
        <f t="shared" si="4"/>
        <v>13.542</v>
      </c>
      <c r="R26" s="7"/>
      <c r="S26" s="36">
        <f>-(Q26*O4)</f>
        <v>-286.54872</v>
      </c>
      <c r="T26" s="36">
        <f>-(Q26*P4)</f>
        <v>-392.98883999999998</v>
      </c>
    </row>
    <row r="27" spans="1:22" hidden="1" x14ac:dyDescent="0.25">
      <c r="B27" s="1"/>
      <c r="C27" s="1"/>
      <c r="F27" s="54"/>
      <c r="O27" s="39">
        <f>SUM(O15:O26)</f>
        <v>3438.5846399999991</v>
      </c>
      <c r="P27" s="39">
        <f>SUM(P15:P26)</f>
        <v>4715.8660799999998</v>
      </c>
      <c r="Q27" s="41"/>
      <c r="R27" s="41"/>
      <c r="S27" s="39">
        <f>SUM(S15:S26)</f>
        <v>-3438.5846399999991</v>
      </c>
      <c r="T27" s="39">
        <f>SUM(T15:T26)</f>
        <v>-4715.8660799999998</v>
      </c>
    </row>
    <row r="28" spans="1:22" hidden="1" x14ac:dyDescent="0.25">
      <c r="B28" s="1"/>
      <c r="C28" s="1"/>
      <c r="F28" s="54"/>
      <c r="O28" s="41"/>
      <c r="P28" s="41"/>
      <c r="Q28" s="41"/>
      <c r="R28" s="41" t="s">
        <v>41</v>
      </c>
      <c r="T28" s="41"/>
    </row>
    <row r="29" spans="1:22" hidden="1" x14ac:dyDescent="0.25">
      <c r="B29" s="1"/>
      <c r="C29" s="1"/>
      <c r="F29" s="54"/>
      <c r="O29" s="41"/>
      <c r="P29" s="41"/>
      <c r="Q29" s="41"/>
      <c r="R29" s="41"/>
      <c r="S29" s="41"/>
      <c r="T29" s="42">
        <f>S27+T27</f>
        <v>-8154.4507199999989</v>
      </c>
    </row>
    <row r="30" spans="1:22" hidden="1" x14ac:dyDescent="0.25">
      <c r="F30" s="54"/>
    </row>
    <row r="31" spans="1:22" hidden="1" x14ac:dyDescent="0.25">
      <c r="F31" s="54"/>
    </row>
    <row r="32" spans="1:22" hidden="1" x14ac:dyDescent="0.25">
      <c r="F32" s="54"/>
    </row>
    <row r="33" spans="1:20" hidden="1" x14ac:dyDescent="0.25">
      <c r="A33" s="5">
        <v>45292</v>
      </c>
      <c r="B33" s="6">
        <v>4689.3</v>
      </c>
      <c r="C33" s="6">
        <v>423.2</v>
      </c>
      <c r="D33" s="10">
        <v>14555428</v>
      </c>
      <c r="E33" s="6" t="s">
        <v>21</v>
      </c>
      <c r="F33" s="55">
        <v>752</v>
      </c>
      <c r="G33" s="17">
        <v>905.62599999999998</v>
      </c>
      <c r="H33" s="17"/>
      <c r="I33" s="17">
        <f>F33-(G33+H33)</f>
        <v>-153.62599999999998</v>
      </c>
      <c r="J33" s="6"/>
      <c r="K33" s="6">
        <v>0</v>
      </c>
      <c r="L33" s="6"/>
      <c r="M33" s="6"/>
      <c r="N33" s="19">
        <v>13.542</v>
      </c>
      <c r="O33" s="11">
        <f>N33*Q3</f>
        <v>286.54872</v>
      </c>
      <c r="P33" s="11">
        <f>N33*R3</f>
        <v>392.98883999999998</v>
      </c>
      <c r="Q33" s="50"/>
      <c r="R33" s="50"/>
      <c r="S33" s="36">
        <f>-(N33*Q3)</f>
        <v>-286.54872</v>
      </c>
      <c r="T33" s="36">
        <f>-(N33*R3)</f>
        <v>-392.98883999999998</v>
      </c>
    </row>
    <row r="34" spans="1:20" hidden="1" x14ac:dyDescent="0.25">
      <c r="A34" s="5">
        <v>45323</v>
      </c>
      <c r="B34" s="6">
        <v>4689.3</v>
      </c>
      <c r="C34" s="6">
        <v>423.2</v>
      </c>
      <c r="D34" s="10">
        <v>14555428</v>
      </c>
      <c r="E34" s="6" t="s">
        <v>21</v>
      </c>
      <c r="F34" s="55">
        <v>657</v>
      </c>
      <c r="G34" s="17">
        <v>920.54</v>
      </c>
      <c r="H34" s="17"/>
      <c r="I34" s="17">
        <f t="shared" ref="I34" si="5">F34-(G34+H34)</f>
        <v>-263.53999999999996</v>
      </c>
      <c r="J34" s="6"/>
      <c r="K34" s="6">
        <v>0</v>
      </c>
      <c r="L34" s="6"/>
      <c r="M34" s="6"/>
      <c r="N34" s="19">
        <v>13.542</v>
      </c>
      <c r="O34" s="11">
        <f>N34*Q3</f>
        <v>286.54872</v>
      </c>
      <c r="P34" s="11">
        <f>N34*R3</f>
        <v>392.98883999999998</v>
      </c>
      <c r="Q34" s="50"/>
      <c r="R34" s="22"/>
      <c r="S34" s="36">
        <f>-(N34*Q3)</f>
        <v>-286.54872</v>
      </c>
      <c r="T34" s="36">
        <f>-(N34*R3)</f>
        <v>-392.98883999999998</v>
      </c>
    </row>
    <row r="35" spans="1:20" hidden="1" x14ac:dyDescent="0.25">
      <c r="A35" s="5">
        <v>45352</v>
      </c>
      <c r="B35" s="6">
        <v>4689.3</v>
      </c>
      <c r="C35" s="6">
        <v>423.2</v>
      </c>
      <c r="D35" s="10">
        <v>14555428</v>
      </c>
      <c r="E35" s="6" t="s">
        <v>21</v>
      </c>
      <c r="F35" s="55">
        <v>676</v>
      </c>
      <c r="G35" s="17">
        <v>932.17700000000002</v>
      </c>
      <c r="H35" s="17"/>
      <c r="I35" s="17">
        <f t="shared" ref="I35:I44" si="6">F35-(G35+H35)</f>
        <v>-256.17700000000002</v>
      </c>
      <c r="J35" s="6"/>
      <c r="K35" s="6">
        <v>0</v>
      </c>
      <c r="L35" s="6"/>
      <c r="M35" s="6"/>
      <c r="N35" s="19">
        <v>13.542</v>
      </c>
      <c r="O35" s="11">
        <f>N35*Q3</f>
        <v>286.54872</v>
      </c>
      <c r="P35" s="11">
        <f>N35*R3</f>
        <v>392.98883999999998</v>
      </c>
      <c r="Q35" s="50"/>
      <c r="R35" s="7"/>
      <c r="S35" s="36">
        <f>-(N35*Q3)</f>
        <v>-286.54872</v>
      </c>
      <c r="T35" s="36">
        <f>-(N35*R3)</f>
        <v>-392.98883999999998</v>
      </c>
    </row>
    <row r="36" spans="1:20" hidden="1" x14ac:dyDescent="0.25">
      <c r="A36" s="5">
        <v>45383</v>
      </c>
      <c r="B36" s="6">
        <v>4689.3</v>
      </c>
      <c r="C36" s="6">
        <v>423.2</v>
      </c>
      <c r="D36" s="10">
        <v>14555428</v>
      </c>
      <c r="E36" s="6" t="s">
        <v>21</v>
      </c>
      <c r="F36" s="55">
        <v>709</v>
      </c>
      <c r="G36" s="17">
        <v>915.98500000000001</v>
      </c>
      <c r="H36" s="17"/>
      <c r="I36" s="17">
        <f t="shared" si="6"/>
        <v>-206.98500000000001</v>
      </c>
      <c r="J36" s="6"/>
      <c r="K36" s="6">
        <v>0</v>
      </c>
      <c r="L36" s="6"/>
      <c r="M36" s="6"/>
      <c r="N36" s="19">
        <v>13.542</v>
      </c>
      <c r="O36" s="11">
        <f>N36*Q3</f>
        <v>286.54872</v>
      </c>
      <c r="P36" s="11">
        <f>N36*R3</f>
        <v>392.98883999999998</v>
      </c>
      <c r="Q36" s="50"/>
      <c r="R36" s="7"/>
      <c r="S36" s="36">
        <f>-(N36*Q3)</f>
        <v>-286.54872</v>
      </c>
      <c r="T36" s="36">
        <f>-(N36*R3)</f>
        <v>-392.98883999999998</v>
      </c>
    </row>
    <row r="37" spans="1:20" hidden="1" x14ac:dyDescent="0.25">
      <c r="A37" s="5">
        <v>45413</v>
      </c>
      <c r="B37" s="6">
        <v>4689.3</v>
      </c>
      <c r="C37" s="6">
        <v>423.2</v>
      </c>
      <c r="D37" s="10">
        <v>14555428</v>
      </c>
      <c r="E37" s="6" t="s">
        <v>21</v>
      </c>
      <c r="F37" s="55">
        <v>620</v>
      </c>
      <c r="G37" s="17">
        <v>914.33299999999997</v>
      </c>
      <c r="H37" s="17"/>
      <c r="I37" s="17">
        <f t="shared" si="6"/>
        <v>-294.33299999999997</v>
      </c>
      <c r="J37" s="6"/>
      <c r="K37" s="6">
        <v>0</v>
      </c>
      <c r="L37" s="6"/>
      <c r="M37" s="6"/>
      <c r="N37" s="19">
        <v>13.542</v>
      </c>
      <c r="O37" s="11">
        <f>N37*Q3</f>
        <v>286.54872</v>
      </c>
      <c r="P37" s="11">
        <f>N37*R3</f>
        <v>392.98883999999998</v>
      </c>
      <c r="Q37" s="50"/>
      <c r="R37" s="7"/>
      <c r="S37" s="36">
        <f>-(N37*Q3)</f>
        <v>-286.54872</v>
      </c>
      <c r="T37" s="36">
        <f>-(N37*R3)</f>
        <v>-392.98883999999998</v>
      </c>
    </row>
    <row r="38" spans="1:20" hidden="1" x14ac:dyDescent="0.25">
      <c r="A38" s="5">
        <v>45444</v>
      </c>
      <c r="B38" s="6">
        <v>4689.3</v>
      </c>
      <c r="C38" s="6">
        <v>423.2</v>
      </c>
      <c r="D38" s="10">
        <v>14555428</v>
      </c>
      <c r="E38" s="6" t="s">
        <v>21</v>
      </c>
      <c r="F38" s="17">
        <v>546</v>
      </c>
      <c r="G38" s="17">
        <v>882.625</v>
      </c>
      <c r="H38" s="17"/>
      <c r="I38" s="17">
        <f t="shared" si="6"/>
        <v>-336.625</v>
      </c>
      <c r="J38" s="6"/>
      <c r="K38" s="6">
        <v>0</v>
      </c>
      <c r="L38" s="6"/>
      <c r="M38" s="6"/>
      <c r="N38" s="19">
        <v>13.542</v>
      </c>
      <c r="O38" s="11">
        <f>N38*Q3</f>
        <v>286.54872</v>
      </c>
      <c r="P38" s="11">
        <f>N38*R3</f>
        <v>392.98883999999998</v>
      </c>
      <c r="Q38" s="50"/>
      <c r="R38" s="7"/>
      <c r="S38" s="36">
        <f>-(N38*Q3)</f>
        <v>-286.54872</v>
      </c>
      <c r="T38" s="36">
        <f>-(N38*R3)</f>
        <v>-392.98883999999998</v>
      </c>
    </row>
    <row r="39" spans="1:20" hidden="1" x14ac:dyDescent="0.25">
      <c r="A39" s="5">
        <v>45474</v>
      </c>
      <c r="B39" s="6">
        <v>4689.3</v>
      </c>
      <c r="C39" s="6">
        <v>423.2</v>
      </c>
      <c r="D39" s="10">
        <v>14555428</v>
      </c>
      <c r="E39" s="6" t="s">
        <v>21</v>
      </c>
      <c r="F39" s="17">
        <v>678</v>
      </c>
      <c r="G39" s="17">
        <v>866.96900000000005</v>
      </c>
      <c r="H39" s="17"/>
      <c r="I39" s="17">
        <f t="shared" si="6"/>
        <v>-188.96900000000005</v>
      </c>
      <c r="J39" s="6"/>
      <c r="K39" s="6">
        <v>0</v>
      </c>
      <c r="L39" s="6"/>
      <c r="M39" s="6"/>
      <c r="N39" s="19">
        <v>13.542</v>
      </c>
      <c r="O39" s="11">
        <f>N39*Q4</f>
        <v>317.69531999999998</v>
      </c>
      <c r="P39" s="11">
        <f>N39*R4</f>
        <v>419.93742000000003</v>
      </c>
      <c r="Q39" s="50"/>
      <c r="R39" s="7"/>
      <c r="S39" s="36">
        <f>-(N39*Q4)</f>
        <v>-317.69531999999998</v>
      </c>
      <c r="T39" s="36">
        <f>-(N39*R4)</f>
        <v>-419.93742000000003</v>
      </c>
    </row>
    <row r="40" spans="1:20" hidden="1" x14ac:dyDescent="0.25">
      <c r="A40" s="5">
        <v>45505</v>
      </c>
      <c r="B40" s="6">
        <v>4689.3</v>
      </c>
      <c r="C40" s="6">
        <v>423.2</v>
      </c>
      <c r="D40" s="10">
        <v>14555428</v>
      </c>
      <c r="E40" s="6" t="s">
        <v>21</v>
      </c>
      <c r="F40" s="17">
        <v>718</v>
      </c>
      <c r="G40" s="17">
        <v>943.86199999999997</v>
      </c>
      <c r="H40" s="17"/>
      <c r="I40" s="17">
        <f t="shared" si="6"/>
        <v>-225.86199999999997</v>
      </c>
      <c r="J40" s="6"/>
      <c r="K40" s="6">
        <v>0</v>
      </c>
      <c r="L40" s="6"/>
      <c r="M40" s="6"/>
      <c r="N40" s="19">
        <v>13.542</v>
      </c>
      <c r="O40" s="11">
        <f>N40*Q4</f>
        <v>317.69531999999998</v>
      </c>
      <c r="P40" s="11">
        <f>N40*R4</f>
        <v>419.93742000000003</v>
      </c>
      <c r="Q40" s="50"/>
      <c r="R40" s="7"/>
      <c r="S40" s="36">
        <f>-(N40*Q4)</f>
        <v>-317.69531999999998</v>
      </c>
      <c r="T40" s="36">
        <f>-(N40*R4)</f>
        <v>-419.93742000000003</v>
      </c>
    </row>
    <row r="41" spans="1:20" hidden="1" x14ac:dyDescent="0.25">
      <c r="A41" s="5">
        <v>45536</v>
      </c>
      <c r="B41" s="6">
        <v>4689.3</v>
      </c>
      <c r="C41" s="6">
        <v>423.2</v>
      </c>
      <c r="D41" s="10">
        <v>14555428</v>
      </c>
      <c r="E41" s="6" t="s">
        <v>21</v>
      </c>
      <c r="F41" s="17">
        <v>692</v>
      </c>
      <c r="G41" s="17">
        <v>911.22</v>
      </c>
      <c r="H41" s="17"/>
      <c r="I41" s="17">
        <f t="shared" si="6"/>
        <v>-219.22000000000003</v>
      </c>
      <c r="J41" s="6"/>
      <c r="K41" s="6">
        <v>0</v>
      </c>
      <c r="L41" s="6"/>
      <c r="M41" s="6"/>
      <c r="N41" s="19">
        <v>13.542</v>
      </c>
      <c r="O41" s="11">
        <f>N41*Q4</f>
        <v>317.69531999999998</v>
      </c>
      <c r="P41" s="11">
        <f>N41*R4</f>
        <v>419.93742000000003</v>
      </c>
      <c r="Q41" s="50"/>
      <c r="R41" s="7"/>
      <c r="S41" s="36">
        <f>-(N41*Q4)</f>
        <v>-317.69531999999998</v>
      </c>
      <c r="T41" s="36">
        <f>-(N41*R4)</f>
        <v>-419.93742000000003</v>
      </c>
    </row>
    <row r="42" spans="1:20" hidden="1" x14ac:dyDescent="0.25">
      <c r="A42" s="5">
        <v>45566</v>
      </c>
      <c r="B42" s="6">
        <v>4689.3</v>
      </c>
      <c r="C42" s="6">
        <v>423.2</v>
      </c>
      <c r="D42" s="10">
        <v>14555428</v>
      </c>
      <c r="E42" s="6" t="s">
        <v>21</v>
      </c>
      <c r="F42" s="17">
        <v>692</v>
      </c>
      <c r="G42" s="17">
        <v>916.47199999999998</v>
      </c>
      <c r="H42" s="17"/>
      <c r="I42" s="17">
        <f t="shared" si="6"/>
        <v>-224.47199999999998</v>
      </c>
      <c r="J42" s="6"/>
      <c r="K42" s="6">
        <v>0</v>
      </c>
      <c r="L42" s="6"/>
      <c r="M42" s="6"/>
      <c r="N42" s="19">
        <v>13.542</v>
      </c>
      <c r="O42" s="11">
        <f>N42*Q4</f>
        <v>317.69531999999998</v>
      </c>
      <c r="P42" s="11">
        <f>N42*R4</f>
        <v>419.93742000000003</v>
      </c>
      <c r="Q42" s="50"/>
      <c r="R42" s="7"/>
      <c r="S42" s="36">
        <f>-(N42*Q4)</f>
        <v>-317.69531999999998</v>
      </c>
      <c r="T42" s="36">
        <f>-(N42*R4)</f>
        <v>-419.93742000000003</v>
      </c>
    </row>
    <row r="43" spans="1:20" hidden="1" x14ac:dyDescent="0.25">
      <c r="A43" s="5">
        <v>45597</v>
      </c>
      <c r="B43" s="6">
        <v>4689.3</v>
      </c>
      <c r="C43" s="6">
        <v>423.2</v>
      </c>
      <c r="D43" s="10">
        <v>14555428</v>
      </c>
      <c r="E43" s="6" t="s">
        <v>21</v>
      </c>
      <c r="F43" s="17">
        <v>676</v>
      </c>
      <c r="G43" s="17">
        <v>945.98</v>
      </c>
      <c r="H43" s="17"/>
      <c r="I43" s="17">
        <f t="shared" si="6"/>
        <v>-269.98</v>
      </c>
      <c r="J43" s="6"/>
      <c r="K43" s="6">
        <v>0</v>
      </c>
      <c r="L43" s="6"/>
      <c r="M43" s="6"/>
      <c r="N43" s="19">
        <v>13.542</v>
      </c>
      <c r="O43" s="11">
        <f>N43*Q4</f>
        <v>317.69531999999998</v>
      </c>
      <c r="P43" s="11">
        <f>N43*R4</f>
        <v>419.93742000000003</v>
      </c>
      <c r="Q43" s="50"/>
      <c r="R43" s="7"/>
      <c r="S43" s="36">
        <f>-(N43*Q4)</f>
        <v>-317.69531999999998</v>
      </c>
      <c r="T43" s="36">
        <f>-(N43*R4)</f>
        <v>-419.93742000000003</v>
      </c>
    </row>
    <row r="44" spans="1:20" hidden="1" x14ac:dyDescent="0.25">
      <c r="A44" s="5">
        <v>45627</v>
      </c>
      <c r="B44" s="6">
        <v>4689.3</v>
      </c>
      <c r="C44" s="6">
        <v>423.2</v>
      </c>
      <c r="D44" s="10">
        <v>14555428</v>
      </c>
      <c r="E44" s="6" t="s">
        <v>21</v>
      </c>
      <c r="F44" s="17">
        <v>733</v>
      </c>
      <c r="G44" s="17">
        <v>891.87300000000005</v>
      </c>
      <c r="H44" s="17"/>
      <c r="I44" s="17">
        <f t="shared" si="6"/>
        <v>-158.87300000000005</v>
      </c>
      <c r="J44" s="6"/>
      <c r="K44" s="6">
        <v>0</v>
      </c>
      <c r="L44" s="6"/>
      <c r="M44" s="6"/>
      <c r="N44" s="19">
        <v>13.542</v>
      </c>
      <c r="O44" s="11">
        <f>N44*Q4</f>
        <v>317.69531999999998</v>
      </c>
      <c r="P44" s="11">
        <f>N44*R4</f>
        <v>419.93742000000003</v>
      </c>
      <c r="Q44" s="50"/>
      <c r="R44" s="7"/>
      <c r="S44" s="36">
        <f>-(N44*Q4)</f>
        <v>-317.69531999999998</v>
      </c>
      <c r="T44" s="36">
        <f>-(N44*R4)</f>
        <v>-419.93742000000003</v>
      </c>
    </row>
    <row r="45" spans="1:20" hidden="1" x14ac:dyDescent="0.25">
      <c r="B45" s="1"/>
      <c r="C45" s="1"/>
      <c r="N45" s="60">
        <f>SUM(N33:N44)</f>
        <v>162.50399999999999</v>
      </c>
      <c r="O45" s="39">
        <f>SUM(O33:O44)</f>
        <v>3625.4642399999993</v>
      </c>
      <c r="P45" s="39">
        <f>SUM(P33:P44)</f>
        <v>4877.5575600000011</v>
      </c>
      <c r="Q45" s="41"/>
      <c r="R45" s="41"/>
      <c r="S45" s="39">
        <f>SUM(S33:S44)</f>
        <v>-3625.4642399999993</v>
      </c>
      <c r="T45" s="39">
        <f>SUM(T33:T44)</f>
        <v>-4877.5575600000011</v>
      </c>
    </row>
    <row r="46" spans="1:20" hidden="1" x14ac:dyDescent="0.25">
      <c r="B46" s="1"/>
      <c r="C46" s="1"/>
      <c r="N46">
        <f>N45/2</f>
        <v>81.251999999999995</v>
      </c>
      <c r="O46" s="41"/>
      <c r="P46" s="41"/>
      <c r="Q46" s="41"/>
      <c r="R46" s="41" t="s">
        <v>41</v>
      </c>
      <c r="T46" s="41"/>
    </row>
    <row r="47" spans="1:20" hidden="1" x14ac:dyDescent="0.25">
      <c r="B47" s="1"/>
      <c r="C47" s="1"/>
      <c r="N47">
        <f>N45/2</f>
        <v>81.251999999999995</v>
      </c>
      <c r="O47" s="41"/>
      <c r="P47" s="41"/>
      <c r="Q47" s="41"/>
      <c r="R47" s="41"/>
      <c r="S47" s="41"/>
      <c r="T47" s="42">
        <f>S45+T45</f>
        <v>-8503.0218000000004</v>
      </c>
    </row>
    <row r="48" spans="1:20" hidden="1" x14ac:dyDescent="0.25"/>
    <row r="49" spans="1:20" hidden="1" x14ac:dyDescent="0.25"/>
    <row r="50" spans="1:20" ht="17.25" customHeight="1" x14ac:dyDescent="0.25">
      <c r="A50" s="27"/>
      <c r="B50" s="27"/>
      <c r="C50" s="27"/>
      <c r="D50" s="27"/>
      <c r="E50" s="27"/>
      <c r="F50" s="27"/>
      <c r="G50" s="27"/>
      <c r="H50" s="28"/>
      <c r="I50" s="28"/>
      <c r="J50" s="28"/>
      <c r="K50" s="28"/>
      <c r="L50" s="28"/>
      <c r="M50" s="28"/>
      <c r="N50" s="28"/>
      <c r="O50" s="29" t="s">
        <v>21</v>
      </c>
      <c r="P50" s="29" t="s">
        <v>33</v>
      </c>
      <c r="Q50" s="28"/>
      <c r="R50" s="29" t="s">
        <v>21</v>
      </c>
      <c r="S50" s="29" t="s">
        <v>33</v>
      </c>
      <c r="T50" s="61"/>
    </row>
    <row r="51" spans="1:20" ht="16.5" customHeight="1" x14ac:dyDescent="0.25">
      <c r="A51" s="68" t="s">
        <v>17</v>
      </c>
      <c r="B51" s="68"/>
      <c r="C51" s="68"/>
      <c r="D51" s="68"/>
      <c r="H51" s="69" t="s">
        <v>78</v>
      </c>
      <c r="I51" s="69"/>
      <c r="J51" s="69"/>
      <c r="K51" s="69"/>
      <c r="L51" s="69"/>
      <c r="M51" s="69"/>
      <c r="N51" s="30" t="s">
        <v>76</v>
      </c>
      <c r="O51" s="31">
        <v>23.46</v>
      </c>
      <c r="P51" s="30">
        <v>31.01</v>
      </c>
      <c r="Q51" s="30" t="s">
        <v>77</v>
      </c>
      <c r="R51" s="31">
        <v>26.71</v>
      </c>
      <c r="S51" s="30">
        <v>34.78</v>
      </c>
      <c r="T51" s="61"/>
    </row>
    <row r="52" spans="1:20" ht="83.25" customHeight="1" x14ac:dyDescent="0.25">
      <c r="A52" s="64" t="s">
        <v>3</v>
      </c>
      <c r="B52" s="64" t="s">
        <v>2</v>
      </c>
      <c r="C52" s="70" t="s">
        <v>10</v>
      </c>
      <c r="D52" s="64" t="s">
        <v>11</v>
      </c>
      <c r="E52" s="64" t="s">
        <v>0</v>
      </c>
      <c r="F52" s="67" t="s">
        <v>79</v>
      </c>
      <c r="G52" s="67" t="s">
        <v>80</v>
      </c>
      <c r="H52" s="67" t="s">
        <v>81</v>
      </c>
      <c r="I52" s="67" t="s">
        <v>9</v>
      </c>
      <c r="J52" s="67" t="s">
        <v>22</v>
      </c>
      <c r="K52" s="67"/>
      <c r="L52" s="67" t="s">
        <v>24</v>
      </c>
      <c r="M52" s="67" t="s">
        <v>25</v>
      </c>
      <c r="N52" s="65" t="s">
        <v>44</v>
      </c>
      <c r="O52" s="67" t="s">
        <v>26</v>
      </c>
      <c r="P52" s="67" t="s">
        <v>43</v>
      </c>
      <c r="Q52" s="67" t="s">
        <v>4</v>
      </c>
      <c r="R52" s="67"/>
      <c r="S52" s="64" t="s">
        <v>53</v>
      </c>
      <c r="T52" s="64" t="s">
        <v>52</v>
      </c>
    </row>
    <row r="53" spans="1:20" ht="92.25" customHeight="1" x14ac:dyDescent="0.25">
      <c r="A53" s="64"/>
      <c r="B53" s="64"/>
      <c r="C53" s="71"/>
      <c r="D53" s="64"/>
      <c r="E53" s="64"/>
      <c r="F53" s="67"/>
      <c r="G53" s="67"/>
      <c r="H53" s="67"/>
      <c r="I53" s="67"/>
      <c r="J53" s="63" t="s">
        <v>1</v>
      </c>
      <c r="K53" s="63" t="s">
        <v>23</v>
      </c>
      <c r="L53" s="67"/>
      <c r="M53" s="67"/>
      <c r="N53" s="66"/>
      <c r="O53" s="67"/>
      <c r="P53" s="66"/>
      <c r="Q53" s="63" t="s">
        <v>38</v>
      </c>
      <c r="R53" s="63" t="s">
        <v>82</v>
      </c>
      <c r="S53" s="64"/>
      <c r="T53" s="64"/>
    </row>
    <row r="54" spans="1:20" x14ac:dyDescent="0.25">
      <c r="A54" s="4">
        <v>1</v>
      </c>
      <c r="B54" s="4">
        <v>2</v>
      </c>
      <c r="C54" s="4">
        <v>3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  <c r="I54" s="4">
        <v>9</v>
      </c>
      <c r="J54" s="4">
        <v>10</v>
      </c>
      <c r="K54" s="4">
        <v>11</v>
      </c>
      <c r="L54" s="4">
        <v>12</v>
      </c>
      <c r="M54" s="4">
        <v>13</v>
      </c>
      <c r="N54" s="4">
        <v>14</v>
      </c>
      <c r="O54" s="4">
        <v>15</v>
      </c>
      <c r="P54" s="4">
        <v>16</v>
      </c>
      <c r="Q54" s="4">
        <v>17</v>
      </c>
      <c r="R54" s="4">
        <v>18</v>
      </c>
      <c r="S54" s="4">
        <v>19</v>
      </c>
      <c r="T54" s="4">
        <v>20</v>
      </c>
    </row>
    <row r="55" spans="1:20" x14ac:dyDescent="0.25">
      <c r="A55" s="62"/>
      <c r="F55" s="54"/>
      <c r="G55" s="54"/>
      <c r="T55" s="51"/>
    </row>
    <row r="56" spans="1:20" x14ac:dyDescent="0.25">
      <c r="A56" s="5">
        <v>45658</v>
      </c>
      <c r="B56" s="6">
        <v>4689.3</v>
      </c>
      <c r="C56" s="6">
        <v>423.2</v>
      </c>
      <c r="D56" s="10">
        <v>14555428</v>
      </c>
      <c r="E56" s="6" t="s">
        <v>21</v>
      </c>
      <c r="F56" s="55">
        <v>773</v>
      </c>
      <c r="G56" s="55">
        <v>904.63599999999997</v>
      </c>
      <c r="H56" s="17">
        <v>0</v>
      </c>
      <c r="I56" s="17">
        <f>F56-(G56+H56)</f>
        <v>-131.63599999999997</v>
      </c>
      <c r="J56" s="6"/>
      <c r="K56" s="6">
        <v>0</v>
      </c>
      <c r="L56" s="6"/>
      <c r="M56" s="6"/>
      <c r="N56" s="19">
        <f>C56*0.033</f>
        <v>13.9656</v>
      </c>
      <c r="O56" s="11">
        <f>N56*O51</f>
        <v>327.63297600000004</v>
      </c>
      <c r="P56" s="11">
        <f>N56*P51*2</f>
        <v>866.14651200000003</v>
      </c>
      <c r="Q56" s="50"/>
      <c r="R56" s="50"/>
      <c r="S56" s="36">
        <f>-(N56*O51)</f>
        <v>-327.63297600000004</v>
      </c>
      <c r="T56" s="36">
        <f>-(N56*P51)*2</f>
        <v>-866.14651200000003</v>
      </c>
    </row>
    <row r="57" spans="1:20" x14ac:dyDescent="0.25">
      <c r="A57" s="5">
        <v>45689</v>
      </c>
      <c r="B57" s="6">
        <v>4689.3</v>
      </c>
      <c r="C57" s="6">
        <v>423.2</v>
      </c>
      <c r="D57" s="10">
        <v>14555428</v>
      </c>
      <c r="E57" s="6" t="s">
        <v>21</v>
      </c>
      <c r="F57" s="55">
        <v>734</v>
      </c>
      <c r="G57" s="55">
        <v>850.86900000000003</v>
      </c>
      <c r="H57" s="17">
        <v>0</v>
      </c>
      <c r="I57" s="17">
        <f t="shared" ref="I57:I67" si="7">F57-(G57+H57)</f>
        <v>-116.86900000000003</v>
      </c>
      <c r="J57" s="6"/>
      <c r="K57" s="6">
        <v>0</v>
      </c>
      <c r="L57" s="6"/>
      <c r="M57" s="6"/>
      <c r="N57" s="19">
        <f t="shared" ref="N57:N67" si="8">C57*0.033</f>
        <v>13.9656</v>
      </c>
      <c r="O57" s="11">
        <f>N57*O51</f>
        <v>327.63297600000004</v>
      </c>
      <c r="P57" s="11">
        <f>N57*P51*2</f>
        <v>866.14651200000003</v>
      </c>
      <c r="Q57" s="50"/>
      <c r="R57" s="22"/>
      <c r="S57" s="36">
        <f>-(N57*O51)</f>
        <v>-327.63297600000004</v>
      </c>
      <c r="T57" s="36">
        <f>-(N57*P51)*2</f>
        <v>-866.14651200000003</v>
      </c>
    </row>
    <row r="58" spans="1:20" x14ac:dyDescent="0.25">
      <c r="A58" s="5">
        <v>45717</v>
      </c>
      <c r="B58" s="6">
        <v>4689.3</v>
      </c>
      <c r="C58" s="6">
        <v>423.2</v>
      </c>
      <c r="D58" s="10">
        <v>14555428</v>
      </c>
      <c r="E58" s="6" t="s">
        <v>21</v>
      </c>
      <c r="F58" s="55">
        <v>645</v>
      </c>
      <c r="G58" s="55">
        <v>872.46900000000005</v>
      </c>
      <c r="H58" s="17">
        <v>0</v>
      </c>
      <c r="I58" s="17">
        <f t="shared" si="7"/>
        <v>-227.46900000000005</v>
      </c>
      <c r="J58" s="6"/>
      <c r="K58" s="6">
        <v>0</v>
      </c>
      <c r="L58" s="6"/>
      <c r="M58" s="6"/>
      <c r="N58" s="19">
        <f t="shared" si="8"/>
        <v>13.9656</v>
      </c>
      <c r="O58" s="11">
        <f>N58*O51</f>
        <v>327.63297600000004</v>
      </c>
      <c r="P58" s="11">
        <f>N58*P51*2</f>
        <v>866.14651200000003</v>
      </c>
      <c r="Q58" s="50"/>
      <c r="R58" s="7"/>
      <c r="S58" s="36">
        <f>-(N58*O51)</f>
        <v>-327.63297600000004</v>
      </c>
      <c r="T58" s="36">
        <f>-(N58*P51)*2</f>
        <v>-866.14651200000003</v>
      </c>
    </row>
    <row r="59" spans="1:20" x14ac:dyDescent="0.25">
      <c r="A59" s="5">
        <v>45748</v>
      </c>
      <c r="B59" s="6">
        <v>4689.3</v>
      </c>
      <c r="C59" s="6">
        <v>423.2</v>
      </c>
      <c r="D59" s="10">
        <v>14555428</v>
      </c>
      <c r="E59" s="6" t="s">
        <v>21</v>
      </c>
      <c r="F59" s="55">
        <v>634</v>
      </c>
      <c r="G59" s="55">
        <v>901.07399999999996</v>
      </c>
      <c r="H59" s="17">
        <v>0</v>
      </c>
      <c r="I59" s="17">
        <f t="shared" si="7"/>
        <v>-267.07399999999996</v>
      </c>
      <c r="J59" s="6"/>
      <c r="K59" s="6">
        <v>0</v>
      </c>
      <c r="L59" s="6"/>
      <c r="M59" s="6"/>
      <c r="N59" s="19">
        <f t="shared" si="8"/>
        <v>13.9656</v>
      </c>
      <c r="O59" s="11">
        <f>N59*O51</f>
        <v>327.63297600000004</v>
      </c>
      <c r="P59" s="11">
        <f>N59*P51*2</f>
        <v>866.14651200000003</v>
      </c>
      <c r="Q59" s="50"/>
      <c r="R59" s="7"/>
      <c r="S59" s="36">
        <f>-(N59*O51)</f>
        <v>-327.63297600000004</v>
      </c>
      <c r="T59" s="36">
        <f>-(N59*P51)*2</f>
        <v>-866.14651200000003</v>
      </c>
    </row>
    <row r="60" spans="1:20" x14ac:dyDescent="0.25">
      <c r="A60" s="5">
        <v>45778</v>
      </c>
      <c r="B60" s="6">
        <v>4689.3</v>
      </c>
      <c r="C60" s="6">
        <v>423.2</v>
      </c>
      <c r="D60" s="10">
        <v>14555428</v>
      </c>
      <c r="E60" s="6" t="s">
        <v>21</v>
      </c>
      <c r="F60" s="55">
        <v>614</v>
      </c>
      <c r="G60" s="55">
        <v>918.596</v>
      </c>
      <c r="H60" s="17">
        <v>0</v>
      </c>
      <c r="I60" s="17">
        <f t="shared" si="7"/>
        <v>-304.596</v>
      </c>
      <c r="J60" s="6"/>
      <c r="K60" s="6">
        <v>0</v>
      </c>
      <c r="L60" s="6"/>
      <c r="M60" s="6"/>
      <c r="N60" s="19">
        <f t="shared" si="8"/>
        <v>13.9656</v>
      </c>
      <c r="O60" s="11">
        <f>N60*O51</f>
        <v>327.63297600000004</v>
      </c>
      <c r="P60" s="11">
        <f>N60*P51*2</f>
        <v>866.14651200000003</v>
      </c>
      <c r="Q60" s="50"/>
      <c r="R60" s="7"/>
      <c r="S60" s="36">
        <f>-(N60*O51)</f>
        <v>-327.63297600000004</v>
      </c>
      <c r="T60" s="36">
        <f>-(N60*P51)*2</f>
        <v>-866.14651200000003</v>
      </c>
    </row>
    <row r="61" spans="1:20" x14ac:dyDescent="0.25">
      <c r="A61" s="5">
        <v>45809</v>
      </c>
      <c r="B61" s="6">
        <v>4689.3</v>
      </c>
      <c r="C61" s="6">
        <v>423.2</v>
      </c>
      <c r="D61" s="10">
        <v>14555428</v>
      </c>
      <c r="E61" s="6" t="s">
        <v>21</v>
      </c>
      <c r="F61" s="55">
        <v>558</v>
      </c>
      <c r="G61" s="55">
        <v>904.89599999999996</v>
      </c>
      <c r="H61" s="17">
        <v>0</v>
      </c>
      <c r="I61" s="17">
        <f t="shared" si="7"/>
        <v>-346.89599999999996</v>
      </c>
      <c r="J61" s="6"/>
      <c r="K61" s="6">
        <v>0</v>
      </c>
      <c r="L61" s="6"/>
      <c r="M61" s="6"/>
      <c r="N61" s="19">
        <f t="shared" si="8"/>
        <v>13.9656</v>
      </c>
      <c r="O61" s="11">
        <f>N61*O51</f>
        <v>327.63297600000004</v>
      </c>
      <c r="P61" s="11">
        <f>N61*P51*2</f>
        <v>866.14651200000003</v>
      </c>
      <c r="Q61" s="50"/>
      <c r="R61" s="7"/>
      <c r="S61" s="36">
        <f>-(N61*O51)</f>
        <v>-327.63297600000004</v>
      </c>
      <c r="T61" s="36">
        <f>-(N61*P51)*2</f>
        <v>-866.14651200000003</v>
      </c>
    </row>
    <row r="62" spans="1:20" x14ac:dyDescent="0.25">
      <c r="A62" s="5">
        <v>45839</v>
      </c>
      <c r="B62" s="6">
        <v>4689.3</v>
      </c>
      <c r="C62" s="6">
        <v>423.2</v>
      </c>
      <c r="D62" s="10">
        <v>14555428</v>
      </c>
      <c r="E62" s="6" t="s">
        <v>21</v>
      </c>
      <c r="F62" s="55">
        <v>566</v>
      </c>
      <c r="G62" s="55">
        <v>874.78</v>
      </c>
      <c r="H62" s="17">
        <v>0</v>
      </c>
      <c r="I62" s="17">
        <f t="shared" si="7"/>
        <v>-308.77999999999997</v>
      </c>
      <c r="J62" s="6"/>
      <c r="K62" s="6">
        <v>0</v>
      </c>
      <c r="L62" s="6"/>
      <c r="M62" s="6"/>
      <c r="N62" s="19">
        <f t="shared" si="8"/>
        <v>13.9656</v>
      </c>
      <c r="O62" s="11">
        <f>N62*R51</f>
        <v>373.02117600000003</v>
      </c>
      <c r="P62" s="11">
        <f>N62*S51*2</f>
        <v>971.447136</v>
      </c>
      <c r="Q62" s="50"/>
      <c r="R62" s="7"/>
      <c r="S62" s="36">
        <f>-(N62*R51)</f>
        <v>-373.02117600000003</v>
      </c>
      <c r="T62" s="36">
        <f>-(N62*S51)*2</f>
        <v>-971.447136</v>
      </c>
    </row>
    <row r="63" spans="1:20" x14ac:dyDescent="0.25">
      <c r="A63" s="5">
        <v>45870</v>
      </c>
      <c r="B63" s="6">
        <v>4689.3</v>
      </c>
      <c r="C63" s="6">
        <v>423.2</v>
      </c>
      <c r="D63" s="10">
        <v>14555428</v>
      </c>
      <c r="E63" s="6" t="s">
        <v>21</v>
      </c>
      <c r="F63" s="55">
        <v>625</v>
      </c>
      <c r="G63" s="55">
        <v>925.97299999999996</v>
      </c>
      <c r="H63" s="17">
        <v>0</v>
      </c>
      <c r="I63" s="17">
        <f t="shared" si="7"/>
        <v>-300.97299999999996</v>
      </c>
      <c r="J63" s="6"/>
      <c r="K63" s="6">
        <v>0</v>
      </c>
      <c r="L63" s="6"/>
      <c r="M63" s="6"/>
      <c r="N63" s="19">
        <f t="shared" si="8"/>
        <v>13.9656</v>
      </c>
      <c r="O63" s="11">
        <f>N63*R51</f>
        <v>373.02117600000003</v>
      </c>
      <c r="P63" s="11">
        <f>N63*S51*2</f>
        <v>971.447136</v>
      </c>
      <c r="Q63" s="50"/>
      <c r="R63" s="7"/>
      <c r="S63" s="36">
        <f>-(N63*R51)</f>
        <v>-373.02117600000003</v>
      </c>
      <c r="T63" s="36">
        <f>-(N63*S51)*2</f>
        <v>-971.447136</v>
      </c>
    </row>
    <row r="64" spans="1:20" x14ac:dyDescent="0.25">
      <c r="A64" s="5">
        <v>45901</v>
      </c>
      <c r="B64" s="6">
        <v>4689.3</v>
      </c>
      <c r="C64" s="6">
        <v>423.2</v>
      </c>
      <c r="D64" s="10">
        <v>14555428</v>
      </c>
      <c r="E64" s="6" t="s">
        <v>21</v>
      </c>
      <c r="F64" s="55">
        <v>624</v>
      </c>
      <c r="G64" s="55">
        <v>934.58399999999995</v>
      </c>
      <c r="H64" s="17">
        <v>0</v>
      </c>
      <c r="I64" s="17">
        <f t="shared" si="7"/>
        <v>-310.58399999999995</v>
      </c>
      <c r="J64" s="6"/>
      <c r="K64" s="6">
        <v>0</v>
      </c>
      <c r="L64" s="6"/>
      <c r="M64" s="6"/>
      <c r="N64" s="19">
        <f t="shared" si="8"/>
        <v>13.9656</v>
      </c>
      <c r="O64" s="11">
        <f>N64*R51</f>
        <v>373.02117600000003</v>
      </c>
      <c r="P64" s="11">
        <f>N64*S51*2</f>
        <v>971.447136</v>
      </c>
      <c r="Q64" s="50"/>
      <c r="R64" s="7"/>
      <c r="S64" s="36">
        <f>-(N64*R51)</f>
        <v>-373.02117600000003</v>
      </c>
      <c r="T64" s="36">
        <f>-(N64*S51)*2</f>
        <v>-971.447136</v>
      </c>
    </row>
    <row r="65" spans="1:20" x14ac:dyDescent="0.25">
      <c r="A65" s="5">
        <v>45931</v>
      </c>
      <c r="B65" s="6">
        <v>4689.3</v>
      </c>
      <c r="C65" s="6">
        <v>423.2</v>
      </c>
      <c r="D65" s="10">
        <v>14555428</v>
      </c>
      <c r="E65" s="6" t="s">
        <v>21</v>
      </c>
      <c r="F65" s="55">
        <v>575</v>
      </c>
      <c r="G65" s="55">
        <v>907.13699999999994</v>
      </c>
      <c r="H65" s="17">
        <v>0</v>
      </c>
      <c r="I65" s="17">
        <f t="shared" si="7"/>
        <v>-332.13699999999994</v>
      </c>
      <c r="J65" s="6"/>
      <c r="K65" s="6">
        <v>0</v>
      </c>
      <c r="L65" s="6"/>
      <c r="M65" s="6"/>
      <c r="N65" s="19">
        <f t="shared" si="8"/>
        <v>13.9656</v>
      </c>
      <c r="O65" s="11">
        <f>N65*R51</f>
        <v>373.02117600000003</v>
      </c>
      <c r="P65" s="11">
        <f>N65*S51*2</f>
        <v>971.447136</v>
      </c>
      <c r="Q65" s="50"/>
      <c r="R65" s="7"/>
      <c r="S65" s="36">
        <f>-(N65*R51)</f>
        <v>-373.02117600000003</v>
      </c>
      <c r="T65" s="36">
        <f>-(N65*S51)*2</f>
        <v>-971.447136</v>
      </c>
    </row>
    <row r="66" spans="1:20" x14ac:dyDescent="0.25">
      <c r="A66" s="5">
        <v>45962</v>
      </c>
      <c r="B66" s="6">
        <v>4689.3</v>
      </c>
      <c r="C66" s="6">
        <v>423.2</v>
      </c>
      <c r="D66" s="10">
        <v>14555428</v>
      </c>
      <c r="E66" s="6" t="s">
        <v>21</v>
      </c>
      <c r="F66" s="55">
        <v>699</v>
      </c>
      <c r="G66" s="55">
        <v>913.42</v>
      </c>
      <c r="H66" s="17">
        <v>0</v>
      </c>
      <c r="I66" s="17">
        <f t="shared" si="7"/>
        <v>-214.41999999999996</v>
      </c>
      <c r="J66" s="6"/>
      <c r="K66" s="6">
        <v>0</v>
      </c>
      <c r="L66" s="6"/>
      <c r="M66" s="6"/>
      <c r="N66" s="19">
        <f t="shared" si="8"/>
        <v>13.9656</v>
      </c>
      <c r="O66" s="11">
        <f>N66*R51</f>
        <v>373.02117600000003</v>
      </c>
      <c r="P66" s="11">
        <f>N66*S51*2</f>
        <v>971.447136</v>
      </c>
      <c r="Q66" s="50"/>
      <c r="R66" s="7"/>
      <c r="S66" s="36">
        <f>-(N66*R51)</f>
        <v>-373.02117600000003</v>
      </c>
      <c r="T66" s="36">
        <f>-(N66*S51)*2</f>
        <v>-971.447136</v>
      </c>
    </row>
    <row r="67" spans="1:20" x14ac:dyDescent="0.25">
      <c r="A67" s="5">
        <v>45992</v>
      </c>
      <c r="B67" s="6">
        <v>4689.3</v>
      </c>
      <c r="C67" s="6">
        <v>423.2</v>
      </c>
      <c r="D67" s="10">
        <v>14555428</v>
      </c>
      <c r="E67" s="6" t="s">
        <v>21</v>
      </c>
      <c r="F67" s="55">
        <v>640</v>
      </c>
      <c r="G67" s="55">
        <v>910.78499999999997</v>
      </c>
      <c r="H67" s="17">
        <v>0</v>
      </c>
      <c r="I67" s="17">
        <f t="shared" si="7"/>
        <v>-270.78499999999997</v>
      </c>
      <c r="J67" s="6"/>
      <c r="K67" s="6">
        <v>0</v>
      </c>
      <c r="L67" s="6"/>
      <c r="M67" s="6"/>
      <c r="N67" s="19">
        <f t="shared" si="8"/>
        <v>13.9656</v>
      </c>
      <c r="O67" s="11">
        <f>N67*R51</f>
        <v>373.02117600000003</v>
      </c>
      <c r="P67" s="11">
        <f>N67*S51*2</f>
        <v>971.447136</v>
      </c>
      <c r="Q67" s="50"/>
      <c r="R67" s="7"/>
      <c r="S67" s="36">
        <f>-(N67*R51)</f>
        <v>-373.02117600000003</v>
      </c>
      <c r="T67" s="36">
        <f>-(N67*S51)*2</f>
        <v>-971.447136</v>
      </c>
    </row>
    <row r="68" spans="1:20" x14ac:dyDescent="0.25">
      <c r="A68" s="62"/>
      <c r="B68" s="1"/>
      <c r="C68" s="1"/>
      <c r="N68" s="60">
        <f>SUM(N56:N67)</f>
        <v>167.58719999999997</v>
      </c>
      <c r="O68" s="39">
        <f>SUM(O56:O67)</f>
        <v>4203.9249120000013</v>
      </c>
      <c r="P68" s="39">
        <f>SUM(P56:P67)</f>
        <v>11025.561888000002</v>
      </c>
      <c r="Q68" s="41"/>
      <c r="R68" s="41"/>
      <c r="S68" s="39">
        <f>SUM(S56:S67)</f>
        <v>-4203.9249120000013</v>
      </c>
      <c r="T68" s="39">
        <f>SUM(T56:T67)</f>
        <v>-11025.561888000002</v>
      </c>
    </row>
    <row r="69" spans="1:20" x14ac:dyDescent="0.25">
      <c r="A69" s="62"/>
      <c r="B69" s="1"/>
      <c r="C69" s="1"/>
      <c r="O69" s="41"/>
      <c r="P69" s="41"/>
      <c r="Q69" s="41"/>
      <c r="R69" s="41" t="s">
        <v>41</v>
      </c>
      <c r="T69" s="41"/>
    </row>
    <row r="70" spans="1:20" x14ac:dyDescent="0.25">
      <c r="A70" s="62"/>
      <c r="B70" s="1"/>
      <c r="C70" s="1"/>
      <c r="O70" s="41"/>
      <c r="P70" s="41"/>
      <c r="Q70" s="41"/>
      <c r="R70" s="41"/>
      <c r="S70" s="41"/>
      <c r="T70" s="42">
        <f>S68+T68</f>
        <v>-15229.486800000002</v>
      </c>
    </row>
  </sheetData>
  <sheetProtection algorithmName="SHA-512" hashValue="EddeUdHdYPMbQy+ptp8dLUKiIpX3u+f+8LysR7x1Iqsp/l4VWytuQn+7AkUk7wCERxx6P9xQhDMxyPaaw6waJA==" saltValue="QmByhZxG+ULewSdfdEhQPg==" spinCount="100000" sheet="1" objects="1" scenarios="1" selectLockedCells="1" selectUnlockedCells="1"/>
  <mergeCells count="42">
    <mergeCell ref="H3:M3"/>
    <mergeCell ref="H4:M4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  <mergeCell ref="S5:S6"/>
    <mergeCell ref="T5:T6"/>
    <mergeCell ref="L5:L6"/>
    <mergeCell ref="P5:P6"/>
    <mergeCell ref="A51:D51"/>
    <mergeCell ref="H51:M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K52"/>
    <mergeCell ref="L52:L53"/>
    <mergeCell ref="M52:M53"/>
    <mergeCell ref="T52:T53"/>
    <mergeCell ref="N52:N53"/>
    <mergeCell ref="O52:O53"/>
    <mergeCell ref="P52:P53"/>
    <mergeCell ref="Q52:R52"/>
    <mergeCell ref="S52:S53"/>
  </mergeCells>
  <pageMargins left="0.25" right="0.25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4"/>
  <sheetViews>
    <sheetView zoomScale="70" zoomScaleNormal="70" workbookViewId="0">
      <selection activeCell="K17" sqref="K17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24.85546875" bestFit="1" customWidth="1"/>
    <col min="11" max="11" width="14.28515625" customWidth="1"/>
    <col min="12" max="12" width="16.42578125" customWidth="1"/>
    <col min="13" max="13" width="14" customWidth="1"/>
    <col min="14" max="14" width="13.5703125" customWidth="1"/>
    <col min="15" max="15" width="20.7109375" customWidth="1"/>
    <col min="16" max="16" width="17" customWidth="1"/>
    <col min="17" max="17" width="20.7109375" customWidth="1"/>
    <col min="18" max="18" width="20.42578125" customWidth="1"/>
    <col min="19" max="19" width="15.140625" customWidth="1"/>
    <col min="20" max="20" width="16.42578125" customWidth="1"/>
    <col min="21" max="21" width="17.570312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2"/>
    </row>
    <row r="2" spans="1:21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8"/>
      <c r="P2" s="29" t="s">
        <v>21</v>
      </c>
      <c r="Q2" s="29" t="s">
        <v>33</v>
      </c>
      <c r="R2" s="27"/>
      <c r="S2" s="27"/>
    </row>
    <row r="3" spans="1:21" ht="18.75" x14ac:dyDescent="0.25">
      <c r="A3" s="68" t="s">
        <v>16</v>
      </c>
      <c r="B3" s="68"/>
      <c r="C3" s="68"/>
      <c r="D3" s="68"/>
      <c r="H3" s="75" t="s">
        <v>32</v>
      </c>
      <c r="I3" s="75"/>
      <c r="J3" s="75"/>
      <c r="K3" s="75"/>
      <c r="L3" s="75"/>
      <c r="M3" s="75"/>
      <c r="N3" s="76"/>
      <c r="O3" s="30" t="s">
        <v>13</v>
      </c>
      <c r="P3" s="31">
        <v>17.64</v>
      </c>
      <c r="Q3" s="30">
        <v>26.93</v>
      </c>
    </row>
    <row r="4" spans="1:21" ht="23.25" customHeight="1" x14ac:dyDescent="0.25">
      <c r="H4" s="109" t="s">
        <v>34</v>
      </c>
      <c r="I4" s="109"/>
      <c r="J4" s="109"/>
      <c r="K4" s="109"/>
      <c r="L4" s="109"/>
      <c r="M4" s="109"/>
      <c r="N4" s="110"/>
      <c r="O4" s="30" t="s">
        <v>35</v>
      </c>
      <c r="P4" s="30">
        <v>21.16</v>
      </c>
      <c r="Q4" s="30">
        <v>29.02</v>
      </c>
    </row>
    <row r="5" spans="1:21" ht="96" customHeight="1" x14ac:dyDescent="0.25">
      <c r="A5" s="70" t="s">
        <v>3</v>
      </c>
      <c r="B5" s="70" t="s">
        <v>2</v>
      </c>
      <c r="C5" s="70" t="s">
        <v>10</v>
      </c>
      <c r="D5" s="70" t="s">
        <v>11</v>
      </c>
      <c r="E5" s="70" t="s">
        <v>0</v>
      </c>
      <c r="F5" s="70" t="s">
        <v>6</v>
      </c>
      <c r="G5" s="70" t="s">
        <v>7</v>
      </c>
      <c r="H5" s="70" t="s">
        <v>8</v>
      </c>
      <c r="I5" s="70" t="s">
        <v>9</v>
      </c>
      <c r="J5" s="103" t="s">
        <v>22</v>
      </c>
      <c r="K5" s="104"/>
      <c r="L5" s="70" t="s">
        <v>24</v>
      </c>
      <c r="M5" s="70" t="s">
        <v>25</v>
      </c>
      <c r="N5" s="70" t="s">
        <v>48</v>
      </c>
      <c r="O5" s="70" t="s">
        <v>44</v>
      </c>
      <c r="P5" s="64" t="s">
        <v>26</v>
      </c>
      <c r="Q5" s="64" t="s">
        <v>43</v>
      </c>
      <c r="R5" s="103" t="s">
        <v>4</v>
      </c>
      <c r="S5" s="104"/>
      <c r="T5" s="70" t="s">
        <v>52</v>
      </c>
      <c r="U5" s="70" t="s">
        <v>40</v>
      </c>
    </row>
    <row r="6" spans="1:21" ht="92.2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3" t="s">
        <v>1</v>
      </c>
      <c r="K6" s="3" t="s">
        <v>23</v>
      </c>
      <c r="L6" s="71"/>
      <c r="M6" s="71"/>
      <c r="N6" s="71"/>
      <c r="O6" s="71"/>
      <c r="P6" s="64"/>
      <c r="Q6" s="64"/>
      <c r="R6" s="3" t="s">
        <v>38</v>
      </c>
      <c r="S6" s="3" t="s">
        <v>51</v>
      </c>
      <c r="T6" s="71"/>
      <c r="U6" s="71"/>
    </row>
    <row r="7" spans="1:2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</row>
    <row r="8" spans="1:21" x14ac:dyDescent="0.25">
      <c r="A8" s="5">
        <v>44805</v>
      </c>
      <c r="B8" s="8">
        <v>3793.8</v>
      </c>
      <c r="C8" s="8">
        <v>349</v>
      </c>
      <c r="D8" s="10">
        <v>14555443</v>
      </c>
      <c r="E8" s="8" t="s">
        <v>21</v>
      </c>
      <c r="F8" s="16">
        <v>882</v>
      </c>
      <c r="G8" s="16">
        <v>708.24</v>
      </c>
      <c r="H8" s="12"/>
      <c r="I8" s="16">
        <f t="shared" ref="I8:I11" si="0">F8-(G8+H8)</f>
        <v>173.76</v>
      </c>
      <c r="J8" s="8" t="s">
        <v>36</v>
      </c>
      <c r="K8" s="33">
        <v>173.76</v>
      </c>
      <c r="L8" s="7">
        <f t="shared" ref="L8:L9" si="1">K8/C8</f>
        <v>0.49787965616045843</v>
      </c>
      <c r="M8" s="15">
        <f>L8*P3</f>
        <v>8.7825971346704872</v>
      </c>
      <c r="N8" s="15">
        <f>L8*Q3</f>
        <v>13.407899140401145</v>
      </c>
      <c r="O8" s="18">
        <v>11.167999999999999</v>
      </c>
      <c r="P8" s="18">
        <f>O8*P3</f>
        <v>197.00351999999998</v>
      </c>
      <c r="Q8" s="18">
        <f>O8*Q3</f>
        <v>300.75423999999998</v>
      </c>
      <c r="R8" s="9"/>
      <c r="S8" s="44">
        <f>I8-O8</f>
        <v>162.59199999999998</v>
      </c>
      <c r="T8" s="36">
        <f>S8*P3</f>
        <v>2868.1228799999999</v>
      </c>
      <c r="U8" s="36">
        <f>S8*Q3</f>
        <v>4378.6025599999994</v>
      </c>
    </row>
    <row r="9" spans="1:21" x14ac:dyDescent="0.25">
      <c r="A9" s="5">
        <v>44835</v>
      </c>
      <c r="B9" s="8">
        <v>3793.8</v>
      </c>
      <c r="C9" s="8">
        <v>349</v>
      </c>
      <c r="D9" s="10">
        <v>14555443</v>
      </c>
      <c r="E9" s="8" t="s">
        <v>21</v>
      </c>
      <c r="F9" s="16">
        <v>767</v>
      </c>
      <c r="G9" s="16">
        <v>658.75699999999995</v>
      </c>
      <c r="H9" s="12"/>
      <c r="I9" s="16">
        <f t="shared" si="0"/>
        <v>108.24300000000005</v>
      </c>
      <c r="J9" s="8" t="s">
        <v>36</v>
      </c>
      <c r="K9" s="32">
        <v>108.24299999999999</v>
      </c>
      <c r="L9" s="7">
        <f t="shared" si="1"/>
        <v>0.31015186246418336</v>
      </c>
      <c r="M9" s="13"/>
      <c r="N9" s="34"/>
      <c r="O9" s="18">
        <v>11.167999999999999</v>
      </c>
      <c r="P9" s="18">
        <f>O9*P3</f>
        <v>197.00351999999998</v>
      </c>
      <c r="Q9" s="18">
        <f>O9*Q3</f>
        <v>300.75423999999998</v>
      </c>
      <c r="R9" s="9"/>
      <c r="S9" s="45">
        <f>I9-O9</f>
        <v>97.075000000000045</v>
      </c>
      <c r="T9" s="36">
        <f>S9*P3</f>
        <v>1712.4030000000009</v>
      </c>
      <c r="U9" s="36">
        <f>S9*Q3</f>
        <v>2614.2297500000013</v>
      </c>
    </row>
    <row r="10" spans="1:21" x14ac:dyDescent="0.25">
      <c r="A10" s="5">
        <v>44866</v>
      </c>
      <c r="B10" s="8">
        <v>3793.8</v>
      </c>
      <c r="C10" s="8">
        <v>349</v>
      </c>
      <c r="D10" s="10">
        <v>14555443</v>
      </c>
      <c r="E10" s="8" t="s">
        <v>21</v>
      </c>
      <c r="F10" s="17">
        <v>833</v>
      </c>
      <c r="G10" s="17">
        <v>695.82899999999995</v>
      </c>
      <c r="H10" s="7"/>
      <c r="I10" s="16">
        <f t="shared" si="0"/>
        <v>137.17100000000005</v>
      </c>
      <c r="J10" s="105" t="s">
        <v>47</v>
      </c>
      <c r="K10" s="106"/>
      <c r="L10" s="7"/>
      <c r="M10" s="7"/>
      <c r="N10" s="35"/>
      <c r="O10" s="18">
        <v>11.167999999999999</v>
      </c>
      <c r="P10" s="18">
        <f>O10*P3</f>
        <v>197.00351999999998</v>
      </c>
      <c r="Q10" s="18">
        <f>O10*Q3</f>
        <v>300.75423999999998</v>
      </c>
      <c r="R10" s="17">
        <f>O10</f>
        <v>11.167999999999999</v>
      </c>
      <c r="S10" s="32"/>
      <c r="T10" s="36">
        <f>-(R10*P3)</f>
        <v>-197.00351999999998</v>
      </c>
      <c r="U10" s="36">
        <f>-(R10*Q3)</f>
        <v>-300.75423999999998</v>
      </c>
    </row>
    <row r="11" spans="1:21" x14ac:dyDescent="0.25">
      <c r="A11" s="5">
        <v>44896</v>
      </c>
      <c r="B11" s="6">
        <v>3793.8</v>
      </c>
      <c r="C11" s="6">
        <v>349</v>
      </c>
      <c r="D11" s="10">
        <v>14555443</v>
      </c>
      <c r="E11" s="6" t="s">
        <v>21</v>
      </c>
      <c r="F11" s="17">
        <v>763</v>
      </c>
      <c r="G11" s="17">
        <v>437.57499999999999</v>
      </c>
      <c r="H11" s="7"/>
      <c r="I11" s="17">
        <f t="shared" si="0"/>
        <v>325.42500000000001</v>
      </c>
      <c r="J11" s="6" t="s">
        <v>37</v>
      </c>
      <c r="K11" s="32">
        <v>325.42500000000001</v>
      </c>
      <c r="L11" s="7">
        <f>K11/C11</f>
        <v>0.93244985673352443</v>
      </c>
      <c r="M11" s="7"/>
      <c r="N11" s="7"/>
      <c r="O11" s="19"/>
      <c r="P11" s="19"/>
      <c r="Q11" s="19"/>
      <c r="R11" s="11"/>
      <c r="S11" s="32"/>
      <c r="T11" s="107" t="s">
        <v>49</v>
      </c>
      <c r="U11" s="108"/>
    </row>
    <row r="12" spans="1:21" x14ac:dyDescent="0.25">
      <c r="B12" s="1"/>
      <c r="C12" s="1"/>
      <c r="P12" s="46">
        <f>P11+P10+P9+P8</f>
        <v>591.01055999999994</v>
      </c>
      <c r="Q12" s="46">
        <f>Q11+Q10+Q9+Q8</f>
        <v>902.26271999999994</v>
      </c>
      <c r="S12" s="41"/>
      <c r="T12" s="42">
        <f>SUM(T8:T11)</f>
        <v>4383.5223600000008</v>
      </c>
      <c r="U12" s="42">
        <f>SUM(U8:U11)</f>
        <v>6692.0780700000005</v>
      </c>
    </row>
    <row r="13" spans="1:21" x14ac:dyDescent="0.25">
      <c r="B13" s="1"/>
      <c r="C13" s="1"/>
      <c r="T13" s="41" t="s">
        <v>42</v>
      </c>
      <c r="U13" s="41"/>
    </row>
    <row r="14" spans="1:21" x14ac:dyDescent="0.25">
      <c r="B14" s="1"/>
      <c r="C14" s="1"/>
      <c r="S14" s="41"/>
      <c r="T14" s="41"/>
      <c r="U14" s="42">
        <f>U12+T12</f>
        <v>11075.600430000002</v>
      </c>
    </row>
  </sheetData>
  <sheetProtection algorithmName="SHA-512" hashValue="AfcNho7J+z8f3tLOVN8RpECbbq9VSHdVbDbslpXLf1SCn+iAiDaJsO8BTPCHeM4htyeRqR6aQUtRjchXqMSQOw==" saltValue="aP4tPMfl1UTUfJlbQItdig==" spinCount="100000" sheet="1" objects="1" scenarios="1" selectLockedCells="1" selectUnlockedCells="1"/>
  <mergeCells count="25">
    <mergeCell ref="J10:K10"/>
    <mergeCell ref="T11:U11"/>
    <mergeCell ref="P5:P6"/>
    <mergeCell ref="R5:S5"/>
    <mergeCell ref="A1:R1"/>
    <mergeCell ref="L5:L6"/>
    <mergeCell ref="N5:N6"/>
    <mergeCell ref="H3:N3"/>
    <mergeCell ref="H4:N4"/>
    <mergeCell ref="M5:M6"/>
    <mergeCell ref="O5:O6"/>
    <mergeCell ref="Q5:Q6"/>
    <mergeCell ref="A3:D3"/>
    <mergeCell ref="A5:A6"/>
    <mergeCell ref="B5:B6"/>
    <mergeCell ref="C5:C6"/>
    <mergeCell ref="D5:D6"/>
    <mergeCell ref="E5:E6"/>
    <mergeCell ref="F5:F6"/>
    <mergeCell ref="G5:G6"/>
    <mergeCell ref="U5:U6"/>
    <mergeCell ref="H5:H6"/>
    <mergeCell ref="I5:I6"/>
    <mergeCell ref="J5:K5"/>
    <mergeCell ref="T5:T6"/>
  </mergeCells>
  <pageMargins left="0.25" right="0.25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5"/>
  <sheetViews>
    <sheetView zoomScale="70" zoomScaleNormal="70" workbookViewId="0">
      <selection activeCell="Q33" sqref="Q33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27"/>
    </row>
    <row r="3" spans="1:20" ht="18.75" x14ac:dyDescent="0.25">
      <c r="A3" s="68" t="s">
        <v>18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</row>
    <row r="4" spans="1:20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</row>
    <row r="5" spans="1:20" ht="83.25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0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ht="30" customHeight="1" x14ac:dyDescent="0.25">
      <c r="A8" s="5">
        <v>44805</v>
      </c>
      <c r="B8" s="8">
        <v>1245.8</v>
      </c>
      <c r="C8" s="8">
        <v>96.9</v>
      </c>
      <c r="D8" s="10">
        <v>40097729</v>
      </c>
      <c r="E8" s="8" t="s">
        <v>21</v>
      </c>
      <c r="F8" s="16">
        <v>271</v>
      </c>
      <c r="G8" s="16">
        <v>228.87100000000001</v>
      </c>
      <c r="H8" s="12"/>
      <c r="I8" s="16">
        <f t="shared" ref="I8:I11" si="0">F8-(G8+H8)</f>
        <v>42.128999999999991</v>
      </c>
      <c r="J8" s="72" t="s">
        <v>45</v>
      </c>
      <c r="K8" s="73"/>
      <c r="L8" s="8"/>
      <c r="M8" s="8"/>
      <c r="N8" s="18">
        <v>3.101</v>
      </c>
      <c r="O8" s="9">
        <f>N8*O3</f>
        <v>54.701640000000005</v>
      </c>
      <c r="P8" s="9">
        <f>N8*P3</f>
        <v>83.509929999999997</v>
      </c>
      <c r="Q8" s="33">
        <f>N8</f>
        <v>3.101</v>
      </c>
      <c r="R8" s="16"/>
      <c r="S8" s="36">
        <f>-(Q8*O3)</f>
        <v>-54.701640000000005</v>
      </c>
      <c r="T8" s="36">
        <f>-(Q8*P3)</f>
        <v>-83.509929999999997</v>
      </c>
    </row>
    <row r="9" spans="1:20" x14ac:dyDescent="0.25">
      <c r="A9" s="5">
        <v>44835</v>
      </c>
      <c r="B9" s="8">
        <v>1245.8</v>
      </c>
      <c r="C9" s="8">
        <v>96.9</v>
      </c>
      <c r="D9" s="10">
        <v>40097729</v>
      </c>
      <c r="E9" s="8" t="s">
        <v>21</v>
      </c>
      <c r="F9" s="16">
        <v>220</v>
      </c>
      <c r="G9" s="16">
        <v>270.45999999999998</v>
      </c>
      <c r="H9" s="12"/>
      <c r="I9" s="16">
        <f t="shared" si="0"/>
        <v>-50.45999999999998</v>
      </c>
      <c r="J9" s="7"/>
      <c r="K9" s="7"/>
      <c r="L9" s="13"/>
      <c r="M9" s="13"/>
      <c r="N9" s="18">
        <v>3.101</v>
      </c>
      <c r="O9" s="9">
        <f>N9*O3</f>
        <v>54.701640000000005</v>
      </c>
      <c r="P9" s="9">
        <f>N9*P3</f>
        <v>83.509929999999997</v>
      </c>
      <c r="Q9" s="22">
        <f>N9</f>
        <v>3.101</v>
      </c>
      <c r="R9" s="14"/>
      <c r="S9" s="36">
        <f>-(Q9*O3)</f>
        <v>-54.701640000000005</v>
      </c>
      <c r="T9" s="36">
        <f>-(Q9*P3)</f>
        <v>-83.509929999999997</v>
      </c>
    </row>
    <row r="10" spans="1:20" x14ac:dyDescent="0.25">
      <c r="A10" s="5">
        <v>44866</v>
      </c>
      <c r="B10" s="8">
        <v>1245.8</v>
      </c>
      <c r="C10" s="8">
        <v>96.9</v>
      </c>
      <c r="D10" s="10">
        <v>40097729</v>
      </c>
      <c r="E10" s="8" t="s">
        <v>21</v>
      </c>
      <c r="F10" s="17">
        <v>211</v>
      </c>
      <c r="G10" s="17">
        <v>270.44099999999997</v>
      </c>
      <c r="H10" s="7"/>
      <c r="I10" s="16">
        <f t="shared" si="0"/>
        <v>-59.440999999999974</v>
      </c>
      <c r="J10" s="7"/>
      <c r="K10" s="7"/>
      <c r="L10" s="7"/>
      <c r="M10" s="7"/>
      <c r="N10" s="18"/>
      <c r="O10" s="9"/>
      <c r="P10" s="9"/>
      <c r="Q10" s="24"/>
      <c r="R10" s="7"/>
      <c r="S10" s="107" t="s">
        <v>50</v>
      </c>
      <c r="T10" s="108"/>
    </row>
    <row r="11" spans="1:20" x14ac:dyDescent="0.25">
      <c r="A11" s="5">
        <v>44896</v>
      </c>
      <c r="B11" s="6">
        <v>1245.8</v>
      </c>
      <c r="C11" s="6">
        <v>96.9</v>
      </c>
      <c r="D11" s="10">
        <v>40097729</v>
      </c>
      <c r="E11" s="6" t="s">
        <v>21</v>
      </c>
      <c r="F11" s="17">
        <v>179</v>
      </c>
      <c r="G11" s="17">
        <v>275.97300000000001</v>
      </c>
      <c r="H11" s="7"/>
      <c r="I11" s="17">
        <f t="shared" si="0"/>
        <v>-96.973000000000013</v>
      </c>
      <c r="J11" s="7"/>
      <c r="K11" s="7"/>
      <c r="L11" s="7"/>
      <c r="M11" s="7"/>
      <c r="N11" s="19"/>
      <c r="O11" s="11"/>
      <c r="P11" s="11"/>
      <c r="Q11" s="24"/>
      <c r="R11" s="7"/>
      <c r="S11" s="107"/>
      <c r="T11" s="108"/>
    </row>
    <row r="12" spans="1:20" x14ac:dyDescent="0.25">
      <c r="B12" s="1"/>
      <c r="C12" s="1"/>
      <c r="O12" s="39">
        <f>O9+O8</f>
        <v>109.40328000000001</v>
      </c>
      <c r="P12" s="39">
        <f>P9+P8</f>
        <v>167.01985999999999</v>
      </c>
      <c r="Q12" s="40"/>
      <c r="R12" s="41"/>
      <c r="S12" s="42">
        <f>SUM(S8:S11)</f>
        <v>-109.40328000000001</v>
      </c>
      <c r="T12" s="42">
        <f>SUM(T8:T11)</f>
        <v>-167.01985999999999</v>
      </c>
    </row>
    <row r="13" spans="1:20" x14ac:dyDescent="0.25">
      <c r="B13" s="1"/>
      <c r="C13" s="1"/>
      <c r="O13" s="41"/>
      <c r="P13" s="41"/>
      <c r="Q13" s="41"/>
      <c r="R13" s="41" t="s">
        <v>41</v>
      </c>
      <c r="T13" s="41"/>
    </row>
    <row r="14" spans="1:20" x14ac:dyDescent="0.25">
      <c r="B14" s="1"/>
      <c r="C14" s="1"/>
      <c r="O14" s="41"/>
      <c r="P14" s="41"/>
      <c r="Q14" s="41"/>
      <c r="R14" s="41"/>
      <c r="S14" s="41"/>
      <c r="T14" s="42">
        <f>S12+T12</f>
        <v>-276.42313999999999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b2usGgtf9b7jRAgabQB6U+a5zloOsHn9VL7J2bzl1cTIyflyx9h4e4p9ycwh0IfLrGLoAAB7Gpz7AbzSG7TVpw==" saltValue="CcoeJPxvRb0ju50qrmyQGw==" spinCount="100000" sheet="1" objects="1" scenarios="1" selectLockedCells="1" selectUnlockedCells="1"/>
  <mergeCells count="25">
    <mergeCell ref="P5:P6"/>
    <mergeCell ref="J8:K8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25"/>
  <sheetViews>
    <sheetView zoomScale="70" zoomScaleNormal="70" workbookViewId="0">
      <selection activeCell="Q33" sqref="Q33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27"/>
    </row>
    <row r="3" spans="1:20" ht="18.75" x14ac:dyDescent="0.25">
      <c r="A3" s="68" t="s">
        <v>19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</row>
    <row r="4" spans="1:20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</row>
    <row r="5" spans="1:20" ht="83.25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0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x14ac:dyDescent="0.25">
      <c r="A8" s="5">
        <v>44805</v>
      </c>
      <c r="B8" s="8">
        <v>1878.5</v>
      </c>
      <c r="C8" s="8">
        <v>156</v>
      </c>
      <c r="D8" s="10">
        <v>14571985</v>
      </c>
      <c r="E8" s="8" t="s">
        <v>21</v>
      </c>
      <c r="F8" s="23">
        <v>217</v>
      </c>
      <c r="G8" s="23">
        <v>323.69</v>
      </c>
      <c r="H8" s="23"/>
      <c r="I8" s="16">
        <f t="shared" ref="I8:I11" si="0">F8-(G8+H8)</f>
        <v>-106.69</v>
      </c>
      <c r="J8" s="8"/>
      <c r="K8" s="8"/>
      <c r="L8" s="8"/>
      <c r="M8" s="8"/>
      <c r="N8" s="18">
        <v>4.992</v>
      </c>
      <c r="O8" s="9">
        <f>N8*O3</f>
        <v>88.058880000000002</v>
      </c>
      <c r="P8" s="9">
        <f>N8*P3</f>
        <v>134.43456</v>
      </c>
      <c r="Q8" s="23">
        <f>N8</f>
        <v>4.992</v>
      </c>
      <c r="R8" s="8"/>
      <c r="S8" s="36">
        <f>-(Q8*O3)</f>
        <v>-88.058880000000002</v>
      </c>
      <c r="T8" s="36">
        <f>-(Q8*P3)</f>
        <v>-134.43456</v>
      </c>
    </row>
    <row r="9" spans="1:20" x14ac:dyDescent="0.25">
      <c r="A9" s="5">
        <v>44835</v>
      </c>
      <c r="B9" s="8">
        <v>1878.5</v>
      </c>
      <c r="C9" s="8">
        <v>156</v>
      </c>
      <c r="D9" s="10">
        <v>14571985</v>
      </c>
      <c r="E9" s="8" t="s">
        <v>21</v>
      </c>
      <c r="F9" s="23">
        <v>213</v>
      </c>
      <c r="G9" s="23">
        <v>304.95</v>
      </c>
      <c r="H9" s="23"/>
      <c r="I9" s="16">
        <f t="shared" si="0"/>
        <v>-91.949999999999989</v>
      </c>
      <c r="J9" s="7"/>
      <c r="K9" s="7"/>
      <c r="L9" s="13"/>
      <c r="M9" s="13"/>
      <c r="N9" s="18">
        <v>4.992</v>
      </c>
      <c r="O9" s="9">
        <f>N9*O3</f>
        <v>88.058880000000002</v>
      </c>
      <c r="P9" s="9">
        <f>N9*P3</f>
        <v>134.43456</v>
      </c>
      <c r="Q9" s="23">
        <f t="shared" ref="Q9" si="1">N9</f>
        <v>4.992</v>
      </c>
      <c r="R9" s="14"/>
      <c r="S9" s="36">
        <f>-(Q9*O3)</f>
        <v>-88.058880000000002</v>
      </c>
      <c r="T9" s="36">
        <f>-(Q9*P3)</f>
        <v>-134.43456</v>
      </c>
    </row>
    <row r="10" spans="1:20" x14ac:dyDescent="0.25">
      <c r="A10" s="5">
        <v>44866</v>
      </c>
      <c r="B10" s="8">
        <v>1878.5</v>
      </c>
      <c r="C10" s="8">
        <v>156</v>
      </c>
      <c r="D10" s="10">
        <v>14571985</v>
      </c>
      <c r="E10" s="8" t="s">
        <v>21</v>
      </c>
      <c r="F10" s="25">
        <v>226</v>
      </c>
      <c r="G10" s="25">
        <v>352.7</v>
      </c>
      <c r="H10" s="24"/>
      <c r="I10" s="16">
        <f t="shared" si="0"/>
        <v>-126.69999999999999</v>
      </c>
      <c r="J10" s="7"/>
      <c r="K10" s="7"/>
      <c r="L10" s="7"/>
      <c r="M10" s="7"/>
      <c r="N10" s="18"/>
      <c r="O10" s="9"/>
      <c r="P10" s="9"/>
      <c r="Q10" s="23"/>
      <c r="R10" s="7"/>
      <c r="S10" s="107" t="s">
        <v>50</v>
      </c>
      <c r="T10" s="108"/>
    </row>
    <row r="11" spans="1:20" x14ac:dyDescent="0.25">
      <c r="A11" s="5">
        <v>44896</v>
      </c>
      <c r="B11" s="6">
        <v>1878.5</v>
      </c>
      <c r="C11" s="6">
        <v>156</v>
      </c>
      <c r="D11" s="10">
        <v>14571985</v>
      </c>
      <c r="E11" s="6" t="s">
        <v>21</v>
      </c>
      <c r="F11" s="25">
        <v>221</v>
      </c>
      <c r="G11" s="25">
        <v>255.7</v>
      </c>
      <c r="H11" s="24"/>
      <c r="I11" s="17">
        <f t="shared" si="0"/>
        <v>-34.699999999999989</v>
      </c>
      <c r="J11" s="7"/>
      <c r="K11" s="7"/>
      <c r="L11" s="7"/>
      <c r="M11" s="7"/>
      <c r="N11" s="19"/>
      <c r="O11" s="11"/>
      <c r="P11" s="11"/>
      <c r="Q11" s="25"/>
      <c r="R11" s="7"/>
      <c r="S11" s="107"/>
      <c r="T11" s="108"/>
    </row>
    <row r="12" spans="1:20" x14ac:dyDescent="0.25">
      <c r="B12" s="1"/>
      <c r="C12" s="1"/>
      <c r="O12" s="39">
        <f>O9+O8</f>
        <v>176.11776</v>
      </c>
      <c r="P12" s="47">
        <f>P9+P8</f>
        <v>268.86912000000001</v>
      </c>
      <c r="Q12" s="41"/>
      <c r="R12" s="41"/>
      <c r="S12" s="42">
        <f>SUM(S8:S11)</f>
        <v>-176.11776</v>
      </c>
      <c r="T12" s="42">
        <f>SUM(T8:T11)</f>
        <v>-268.86912000000001</v>
      </c>
    </row>
    <row r="13" spans="1:20" x14ac:dyDescent="0.25">
      <c r="B13" s="1"/>
      <c r="C13" s="1"/>
      <c r="O13" s="41"/>
      <c r="P13" s="41"/>
      <c r="Q13" s="41"/>
      <c r="R13" s="41" t="s">
        <v>41</v>
      </c>
      <c r="T13" s="41"/>
    </row>
    <row r="14" spans="1:20" x14ac:dyDescent="0.25">
      <c r="B14" s="1"/>
      <c r="C14" s="1"/>
      <c r="O14" s="41"/>
      <c r="P14" s="41"/>
      <c r="Q14" s="41"/>
      <c r="R14" s="41"/>
      <c r="S14" s="41"/>
      <c r="T14" s="42">
        <f>S12+T12</f>
        <v>-444.98688000000004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kWE5uf+3AS9uINAje2mNDCiUmQd7lLodA948a6AlVVHkUZj7WJbUfAS6RqNAyoGTp/bghNi35QTdAURmWzjO5A==" saltValue="RojJu5yG9PGtK1rTKrqVKQ==" spinCount="100000" sheet="1" objects="1" scenarios="1" selectLockedCells="1" selectUnlockedCells="1"/>
  <mergeCells count="24">
    <mergeCell ref="P5:P6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95"/>
  <sheetViews>
    <sheetView zoomScale="70" zoomScaleNormal="70" workbookViewId="0">
      <selection activeCell="Q33" sqref="Q33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x14ac:dyDescent="0.25">
      <c r="A2" s="27"/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9" t="s">
        <v>21</v>
      </c>
      <c r="P2" s="29" t="s">
        <v>33</v>
      </c>
      <c r="Q2" s="27"/>
    </row>
    <row r="3" spans="1:20" ht="18.75" x14ac:dyDescent="0.25">
      <c r="A3" s="68" t="s">
        <v>20</v>
      </c>
      <c r="B3" s="68"/>
      <c r="C3" s="68"/>
      <c r="D3" s="68"/>
      <c r="H3" s="75" t="s">
        <v>32</v>
      </c>
      <c r="I3" s="75"/>
      <c r="J3" s="75"/>
      <c r="K3" s="75"/>
      <c r="L3" s="75"/>
      <c r="M3" s="76"/>
      <c r="N3" s="30" t="s">
        <v>13</v>
      </c>
      <c r="O3" s="31">
        <v>17.64</v>
      </c>
      <c r="P3" s="30">
        <v>26.93</v>
      </c>
    </row>
    <row r="4" spans="1:20" x14ac:dyDescent="0.25">
      <c r="H4" s="77" t="s">
        <v>34</v>
      </c>
      <c r="I4" s="77"/>
      <c r="J4" s="77"/>
      <c r="K4" s="77"/>
      <c r="L4" s="77"/>
      <c r="M4" s="78"/>
      <c r="N4" s="30" t="s">
        <v>35</v>
      </c>
      <c r="O4" s="30">
        <v>21.16</v>
      </c>
      <c r="P4" s="30">
        <v>29.02</v>
      </c>
    </row>
    <row r="5" spans="1:20" ht="83.25" customHeight="1" x14ac:dyDescent="0.25">
      <c r="A5" s="64" t="s">
        <v>3</v>
      </c>
      <c r="B5" s="64" t="s">
        <v>2</v>
      </c>
      <c r="C5" s="70" t="s">
        <v>10</v>
      </c>
      <c r="D5" s="64" t="s">
        <v>11</v>
      </c>
      <c r="E5" s="64" t="s">
        <v>0</v>
      </c>
      <c r="F5" s="64" t="s">
        <v>6</v>
      </c>
      <c r="G5" s="64" t="s">
        <v>7</v>
      </c>
      <c r="H5" s="64" t="s">
        <v>8</v>
      </c>
      <c r="I5" s="64" t="s">
        <v>9</v>
      </c>
      <c r="J5" s="64" t="s">
        <v>22</v>
      </c>
      <c r="K5" s="64"/>
      <c r="L5" s="64" t="s">
        <v>24</v>
      </c>
      <c r="M5" s="64" t="s">
        <v>25</v>
      </c>
      <c r="N5" s="70" t="s">
        <v>44</v>
      </c>
      <c r="O5" s="64" t="s">
        <v>26</v>
      </c>
      <c r="P5" s="64" t="s">
        <v>43</v>
      </c>
      <c r="Q5" s="64" t="s">
        <v>4</v>
      </c>
      <c r="R5" s="64"/>
      <c r="S5" s="64" t="s">
        <v>53</v>
      </c>
      <c r="T5" s="64" t="s">
        <v>52</v>
      </c>
    </row>
    <row r="6" spans="1:20" ht="92.25" customHeight="1" x14ac:dyDescent="0.25">
      <c r="A6" s="64"/>
      <c r="B6" s="64"/>
      <c r="C6" s="71"/>
      <c r="D6" s="64"/>
      <c r="E6" s="64"/>
      <c r="F6" s="64"/>
      <c r="G6" s="64"/>
      <c r="H6" s="64"/>
      <c r="I6" s="64"/>
      <c r="J6" s="3" t="s">
        <v>1</v>
      </c>
      <c r="K6" s="3" t="s">
        <v>23</v>
      </c>
      <c r="L6" s="64"/>
      <c r="M6" s="64"/>
      <c r="N6" s="71"/>
      <c r="O6" s="64"/>
      <c r="P6" s="64"/>
      <c r="Q6" s="3" t="s">
        <v>38</v>
      </c>
      <c r="R6" s="3" t="s">
        <v>39</v>
      </c>
      <c r="S6" s="64"/>
      <c r="T6" s="64"/>
    </row>
    <row r="7" spans="1:20" x14ac:dyDescent="0.25">
      <c r="A7" s="4">
        <v>1</v>
      </c>
      <c r="B7" s="4">
        <v>2</v>
      </c>
      <c r="C7" s="4">
        <v>3</v>
      </c>
      <c r="D7" s="10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x14ac:dyDescent="0.25">
      <c r="A8" s="5">
        <v>44805</v>
      </c>
      <c r="B8" s="8">
        <v>3111.3</v>
      </c>
      <c r="C8" s="8">
        <v>245.1</v>
      </c>
      <c r="D8" s="10">
        <v>14540629</v>
      </c>
      <c r="E8" s="8" t="s">
        <v>21</v>
      </c>
      <c r="F8" s="23">
        <v>670</v>
      </c>
      <c r="G8" s="23">
        <v>664.327</v>
      </c>
      <c r="H8" s="23"/>
      <c r="I8" s="16">
        <f t="shared" ref="I8:I11" si="0">F8-(G8+H8)</f>
        <v>5.6730000000000018</v>
      </c>
      <c r="J8" s="8"/>
      <c r="K8" s="8"/>
      <c r="L8" s="8"/>
      <c r="M8" s="8"/>
      <c r="N8" s="18">
        <v>7.843</v>
      </c>
      <c r="O8" s="9">
        <f>N8*O3</f>
        <v>138.35052000000002</v>
      </c>
      <c r="P8" s="9">
        <f>N8*P3</f>
        <v>211.21198999999999</v>
      </c>
      <c r="Q8" s="23">
        <f>N8</f>
        <v>7.843</v>
      </c>
      <c r="R8" s="8"/>
      <c r="S8" s="36">
        <f>-(Q8*O3)</f>
        <v>-138.35052000000002</v>
      </c>
      <c r="T8" s="36">
        <f>-(Q8*P3)</f>
        <v>-211.21198999999999</v>
      </c>
    </row>
    <row r="9" spans="1:20" x14ac:dyDescent="0.25">
      <c r="A9" s="5">
        <v>44835</v>
      </c>
      <c r="B9" s="8">
        <v>3111.3</v>
      </c>
      <c r="C9" s="8">
        <v>245.1</v>
      </c>
      <c r="D9" s="10">
        <v>14540629</v>
      </c>
      <c r="E9" s="8" t="s">
        <v>21</v>
      </c>
      <c r="F9" s="23">
        <v>531</v>
      </c>
      <c r="G9" s="23">
        <v>701.70399999999995</v>
      </c>
      <c r="H9" s="23"/>
      <c r="I9" s="16">
        <f t="shared" si="0"/>
        <v>-170.70399999999995</v>
      </c>
      <c r="J9" s="7"/>
      <c r="K9" s="7"/>
      <c r="L9" s="13"/>
      <c r="M9" s="13"/>
      <c r="N9" s="18">
        <v>7.843</v>
      </c>
      <c r="O9" s="9">
        <f>N9*O3</f>
        <v>138.35052000000002</v>
      </c>
      <c r="P9" s="9">
        <f>N9*P3</f>
        <v>211.21198999999999</v>
      </c>
      <c r="Q9" s="25">
        <f>N9</f>
        <v>7.843</v>
      </c>
      <c r="R9" s="14"/>
      <c r="S9" s="36">
        <f>-(Q9*O3)</f>
        <v>-138.35052000000002</v>
      </c>
      <c r="T9" s="36">
        <f>-(Q9*P3)</f>
        <v>-211.21198999999999</v>
      </c>
    </row>
    <row r="10" spans="1:20" x14ac:dyDescent="0.25">
      <c r="A10" s="5">
        <v>44866</v>
      </c>
      <c r="B10" s="8">
        <v>3111.3</v>
      </c>
      <c r="C10" s="8">
        <v>245.1</v>
      </c>
      <c r="D10" s="10">
        <v>14540629</v>
      </c>
      <c r="E10" s="8" t="s">
        <v>21</v>
      </c>
      <c r="F10" s="25">
        <v>505</v>
      </c>
      <c r="G10" s="25">
        <v>714.69500000000005</v>
      </c>
      <c r="H10" s="24"/>
      <c r="I10" s="16">
        <f t="shared" si="0"/>
        <v>-209.69500000000005</v>
      </c>
      <c r="J10" s="7"/>
      <c r="K10" s="7"/>
      <c r="L10" s="7"/>
      <c r="M10" s="7"/>
      <c r="N10" s="18"/>
      <c r="O10" s="9"/>
      <c r="P10" s="9"/>
      <c r="Q10" s="25"/>
      <c r="R10" s="7"/>
      <c r="S10" s="107" t="s">
        <v>50</v>
      </c>
      <c r="T10" s="108"/>
    </row>
    <row r="11" spans="1:20" x14ac:dyDescent="0.25">
      <c r="A11" s="5">
        <v>44896</v>
      </c>
      <c r="B11" s="6">
        <v>3111.3</v>
      </c>
      <c r="C11" s="6">
        <v>245.1</v>
      </c>
      <c r="D11" s="10">
        <v>14540629</v>
      </c>
      <c r="E11" s="6" t="s">
        <v>21</v>
      </c>
      <c r="F11" s="25">
        <v>546</v>
      </c>
      <c r="G11" s="25">
        <v>677.524</v>
      </c>
      <c r="H11" s="24"/>
      <c r="I11" s="17">
        <f t="shared" si="0"/>
        <v>-131.524</v>
      </c>
      <c r="J11" s="7"/>
      <c r="K11" s="7"/>
      <c r="L11" s="7"/>
      <c r="M11" s="7"/>
      <c r="N11" s="19"/>
      <c r="O11" s="11"/>
      <c r="P11" s="11"/>
      <c r="Q11" s="25"/>
      <c r="R11" s="7"/>
      <c r="S11" s="107"/>
      <c r="T11" s="108"/>
    </row>
    <row r="12" spans="1:20" x14ac:dyDescent="0.25">
      <c r="B12" s="1"/>
      <c r="C12" s="1"/>
      <c r="O12" s="39">
        <f>O9+O8</f>
        <v>276.70104000000003</v>
      </c>
      <c r="P12" s="49">
        <f>P9+P8</f>
        <v>422.42397999999997</v>
      </c>
      <c r="Q12" s="41"/>
      <c r="R12" s="41"/>
      <c r="S12" s="42">
        <f>SUM(S8:S11)</f>
        <v>-276.70104000000003</v>
      </c>
      <c r="T12" s="42">
        <f>SUM(T8:T11)</f>
        <v>-422.42397999999997</v>
      </c>
    </row>
    <row r="13" spans="1:20" x14ac:dyDescent="0.25">
      <c r="B13" s="1"/>
      <c r="C13" s="1"/>
      <c r="O13" s="41"/>
      <c r="P13" s="41"/>
      <c r="Q13" s="41"/>
      <c r="R13" s="41" t="s">
        <v>41</v>
      </c>
      <c r="T13" s="41"/>
    </row>
    <row r="14" spans="1:20" x14ac:dyDescent="0.25">
      <c r="B14" s="1"/>
      <c r="C14" s="1"/>
      <c r="O14" s="41"/>
      <c r="P14" s="41"/>
      <c r="Q14" s="41"/>
      <c r="R14" s="41"/>
      <c r="S14" s="41"/>
      <c r="T14" s="42">
        <f>T12+S12</f>
        <v>-699.12501999999995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95" spans="15:15" x14ac:dyDescent="0.25">
      <c r="O95" s="26"/>
    </row>
  </sheetData>
  <sheetProtection algorithmName="SHA-512" hashValue="fqtjS7Yc5Y8jMwyymfh8IG0dAfIIr53kP8QCc8t+RRcrngFsW0KO7mffZn79paN0JH6GSYxT6jX5yrKunOdVTg==" saltValue="+6oHii9Hwws4CRRrazYZng==" spinCount="100000" sheet="1" objects="1" scenarios="1" selectLockedCells="1" selectUnlockedCells="1"/>
  <mergeCells count="24">
    <mergeCell ref="P5:P6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Кал.ш. 14Б</vt:lpstr>
      <vt:lpstr>Кал.ш. 14В</vt:lpstr>
      <vt:lpstr>Кал.ш. 16</vt:lpstr>
      <vt:lpstr>Кал.ш. 16 Г</vt:lpstr>
      <vt:lpstr>Кал.ш. 18 Г</vt:lpstr>
      <vt:lpstr>Кал.ш. 18 В</vt:lpstr>
      <vt:lpstr>Кал.ш. 33 А</vt:lpstr>
      <vt:lpstr>Кал.ш. 33 Б</vt:lpstr>
      <vt:lpstr>Кал.ш.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Екатерина</cp:lastModifiedBy>
  <cp:lastPrinted>2026-03-23T10:09:19Z</cp:lastPrinted>
  <dcterms:created xsi:type="dcterms:W3CDTF">2015-06-05T18:19:34Z</dcterms:created>
  <dcterms:modified xsi:type="dcterms:W3CDTF">2026-03-23T10:13:31Z</dcterms:modified>
</cp:coreProperties>
</file>