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\Share\ОДН\ОДН Для сайта расчеты корректировок за 2022 год\Запароленные для сайта\2024\"/>
    </mc:Choice>
  </mc:AlternateContent>
  <bookViews>
    <workbookView xWindow="28680" yWindow="-120" windowWidth="29040" windowHeight="15840" tabRatio="876"/>
  </bookViews>
  <sheets>
    <sheet name="2 Авиац.29" sheetId="14" r:id="rId1"/>
    <sheet name="Кал.ш. 14Б" sheetId="1" r:id="rId2"/>
    <sheet name="Кал.ш. 14В" sheetId="3" r:id="rId3"/>
    <sheet name="Кал.ш. 16" sheetId="4" r:id="rId4"/>
    <sheet name="Кал.ш. 16 Г" sheetId="6" r:id="rId5"/>
    <sheet name="Кал.ш. 18 Г" sheetId="8" r:id="rId6"/>
    <sheet name="Кал.ш. 18 В" sheetId="7" r:id="rId7"/>
    <sheet name="Кал.ш. 33 А" sheetId="10" r:id="rId8"/>
    <sheet name="Кал.ш. 33 Б" sheetId="11" r:id="rId9"/>
    <sheet name="Кал.ш. 35" sheetId="12" r:id="rId10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4" l="1"/>
  <c r="O10" i="14"/>
  <c r="N47" i="8"/>
  <c r="N46" i="8"/>
  <c r="N47" i="6"/>
  <c r="N46" i="6"/>
  <c r="O15" i="6"/>
  <c r="O16" i="6"/>
  <c r="O17" i="6"/>
  <c r="O18" i="6"/>
  <c r="O19" i="6"/>
  <c r="O20" i="6"/>
  <c r="O21" i="6"/>
  <c r="O22" i="6"/>
  <c r="O23" i="6"/>
  <c r="O24" i="6"/>
  <c r="O25" i="6"/>
  <c r="O26" i="6"/>
  <c r="T9" i="14"/>
  <c r="T8" i="14"/>
  <c r="S9" i="14"/>
  <c r="S8" i="14"/>
  <c r="N45" i="3"/>
  <c r="N47" i="3"/>
  <c r="N46" i="3"/>
  <c r="S33" i="3"/>
  <c r="S70" i="4" l="1"/>
  <c r="S72" i="4"/>
  <c r="S68" i="4"/>
  <c r="S66" i="4"/>
  <c r="S64" i="4"/>
  <c r="S62" i="4"/>
  <c r="S60" i="4"/>
  <c r="S58" i="4"/>
  <c r="S56" i="4"/>
  <c r="S54" i="4"/>
  <c r="S52" i="4"/>
  <c r="S50" i="4"/>
  <c r="S74" i="4" s="1"/>
  <c r="T50" i="4"/>
  <c r="T74" i="4" s="1"/>
  <c r="T70" i="4"/>
  <c r="T72" i="4"/>
  <c r="T68" i="4"/>
  <c r="T66" i="4"/>
  <c r="T64" i="4"/>
  <c r="T62" i="4"/>
  <c r="T60" i="4"/>
  <c r="T58" i="4"/>
  <c r="T56" i="4"/>
  <c r="T54" i="4"/>
  <c r="T52" i="4"/>
  <c r="P62" i="4"/>
  <c r="P50" i="4"/>
  <c r="N74" i="4"/>
  <c r="P72" i="4"/>
  <c r="P70" i="4"/>
  <c r="P68" i="4"/>
  <c r="P66" i="4"/>
  <c r="P64" i="4"/>
  <c r="P60" i="4"/>
  <c r="P58" i="4"/>
  <c r="P56" i="4"/>
  <c r="P54" i="4"/>
  <c r="P52" i="4"/>
  <c r="O72" i="4"/>
  <c r="O70" i="4"/>
  <c r="O68" i="4"/>
  <c r="O66" i="4"/>
  <c r="O64" i="4"/>
  <c r="O62" i="4"/>
  <c r="O60" i="4"/>
  <c r="O58" i="4"/>
  <c r="O56" i="4"/>
  <c r="O54" i="4"/>
  <c r="O52" i="4"/>
  <c r="O50" i="4"/>
  <c r="O33" i="8"/>
  <c r="T44" i="8"/>
  <c r="S44" i="8"/>
  <c r="P44" i="8"/>
  <c r="O44" i="8"/>
  <c r="T43" i="8"/>
  <c r="S43" i="8"/>
  <c r="P43" i="8"/>
  <c r="O43" i="8"/>
  <c r="T42" i="8"/>
  <c r="S42" i="8"/>
  <c r="P42" i="8"/>
  <c r="O42" i="8"/>
  <c r="T41" i="8"/>
  <c r="S41" i="8"/>
  <c r="P41" i="8"/>
  <c r="O41" i="8"/>
  <c r="T40" i="8"/>
  <c r="S40" i="8"/>
  <c r="P40" i="8"/>
  <c r="O40" i="8"/>
  <c r="T39" i="8"/>
  <c r="S39" i="8"/>
  <c r="P39" i="8"/>
  <c r="O39" i="8"/>
  <c r="T38" i="8"/>
  <c r="S38" i="8"/>
  <c r="P38" i="8"/>
  <c r="O38" i="8"/>
  <c r="T37" i="8"/>
  <c r="S37" i="8"/>
  <c r="P37" i="8"/>
  <c r="O37" i="8"/>
  <c r="T36" i="8"/>
  <c r="S36" i="8"/>
  <c r="P36" i="8"/>
  <c r="O36" i="8"/>
  <c r="T35" i="8"/>
  <c r="S35" i="8"/>
  <c r="P35" i="8"/>
  <c r="O35" i="8"/>
  <c r="T34" i="8"/>
  <c r="S34" i="8"/>
  <c r="P34" i="8"/>
  <c r="O34" i="8"/>
  <c r="T33" i="8"/>
  <c r="S33" i="8"/>
  <c r="P33" i="8"/>
  <c r="T44" i="6"/>
  <c r="S44" i="6"/>
  <c r="P44" i="6"/>
  <c r="O44" i="6"/>
  <c r="T43" i="6"/>
  <c r="S43" i="6"/>
  <c r="P43" i="6"/>
  <c r="O43" i="6"/>
  <c r="T42" i="6"/>
  <c r="S42" i="6"/>
  <c r="P42" i="6"/>
  <c r="O42" i="6"/>
  <c r="T41" i="6"/>
  <c r="S41" i="6"/>
  <c r="P41" i="6"/>
  <c r="O41" i="6"/>
  <c r="T40" i="6"/>
  <c r="S40" i="6"/>
  <c r="P40" i="6"/>
  <c r="O40" i="6"/>
  <c r="T39" i="6"/>
  <c r="S39" i="6"/>
  <c r="P39" i="6"/>
  <c r="O39" i="6"/>
  <c r="T38" i="6"/>
  <c r="S38" i="6"/>
  <c r="P38" i="6"/>
  <c r="O38" i="6"/>
  <c r="T37" i="6"/>
  <c r="S37" i="6"/>
  <c r="P37" i="6"/>
  <c r="O37" i="6"/>
  <c r="T36" i="6"/>
  <c r="S36" i="6"/>
  <c r="P36" i="6"/>
  <c r="O36" i="6"/>
  <c r="T35" i="6"/>
  <c r="S35" i="6"/>
  <c r="P35" i="6"/>
  <c r="O35" i="6"/>
  <c r="T34" i="6"/>
  <c r="S34" i="6"/>
  <c r="P34" i="6"/>
  <c r="O34" i="6"/>
  <c r="T33" i="6"/>
  <c r="S33" i="6"/>
  <c r="P33" i="6"/>
  <c r="O33" i="6"/>
  <c r="P33" i="3"/>
  <c r="O33" i="3"/>
  <c r="P44" i="3"/>
  <c r="O44" i="3"/>
  <c r="P43" i="3"/>
  <c r="O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T44" i="3"/>
  <c r="S44" i="3"/>
  <c r="T43" i="3"/>
  <c r="S43" i="3"/>
  <c r="T42" i="3"/>
  <c r="S42" i="3"/>
  <c r="T41" i="3"/>
  <c r="S41" i="3"/>
  <c r="T40" i="3"/>
  <c r="S40" i="3"/>
  <c r="T39" i="3"/>
  <c r="S39" i="3"/>
  <c r="T38" i="3"/>
  <c r="S38" i="3"/>
  <c r="T37" i="3"/>
  <c r="S37" i="3"/>
  <c r="T36" i="3"/>
  <c r="S36" i="3"/>
  <c r="T35" i="3"/>
  <c r="S35" i="3"/>
  <c r="T34" i="3"/>
  <c r="S34" i="3"/>
  <c r="T33" i="3"/>
  <c r="S33" i="1"/>
  <c r="T44" i="1"/>
  <c r="T43" i="1"/>
  <c r="T42" i="1"/>
  <c r="T41" i="1"/>
  <c r="T40" i="1"/>
  <c r="T39" i="1"/>
  <c r="T38" i="1"/>
  <c r="T37" i="1"/>
  <c r="T36" i="1"/>
  <c r="T35" i="1"/>
  <c r="T34" i="1"/>
  <c r="T33" i="1"/>
  <c r="S44" i="1"/>
  <c r="S43" i="1"/>
  <c r="S42" i="1"/>
  <c r="S41" i="1"/>
  <c r="S40" i="1"/>
  <c r="S38" i="1"/>
  <c r="S39" i="1"/>
  <c r="S37" i="1"/>
  <c r="S36" i="1"/>
  <c r="S35" i="1"/>
  <c r="S34" i="1"/>
  <c r="N45" i="8"/>
  <c r="N45" i="6"/>
  <c r="N45" i="1"/>
  <c r="P9" i="14"/>
  <c r="P8" i="14"/>
  <c r="O9" i="14"/>
  <c r="O8" i="14"/>
  <c r="O33" i="1"/>
  <c r="O36" i="1"/>
  <c r="O35" i="1"/>
  <c r="O44" i="1"/>
  <c r="O43" i="1"/>
  <c r="O42" i="1"/>
  <c r="O41" i="1"/>
  <c r="O40" i="1"/>
  <c r="O39" i="1"/>
  <c r="O38" i="1"/>
  <c r="O37" i="1"/>
  <c r="O34" i="1"/>
  <c r="P44" i="1"/>
  <c r="P43" i="1"/>
  <c r="P42" i="1"/>
  <c r="P41" i="1"/>
  <c r="P40" i="1"/>
  <c r="P39" i="1"/>
  <c r="P38" i="1"/>
  <c r="P37" i="1"/>
  <c r="P36" i="1"/>
  <c r="P35" i="1"/>
  <c r="P34" i="1"/>
  <c r="P33" i="1"/>
  <c r="N47" i="1" l="1"/>
  <c r="N46" i="1"/>
  <c r="N75" i="4"/>
  <c r="N76" i="4"/>
  <c r="T45" i="1"/>
  <c r="P45" i="1"/>
  <c r="O45" i="1"/>
  <c r="T76" i="4"/>
  <c r="T10" i="14"/>
  <c r="I9" i="14"/>
  <c r="I44" i="8"/>
  <c r="I44" i="6"/>
  <c r="F72" i="4"/>
  <c r="I72" i="4" s="1"/>
  <c r="I44" i="3"/>
  <c r="I44" i="1"/>
  <c r="I42" i="8"/>
  <c r="I43" i="8"/>
  <c r="I43" i="6"/>
  <c r="F70" i="4"/>
  <c r="I70" i="4" s="1"/>
  <c r="I43" i="3"/>
  <c r="I43" i="1"/>
  <c r="I8" i="14"/>
  <c r="P10" i="14"/>
  <c r="I42" i="6"/>
  <c r="F68" i="4"/>
  <c r="I68" i="4" s="1"/>
  <c r="I42" i="3"/>
  <c r="I42" i="1"/>
  <c r="I41" i="8"/>
  <c r="I41" i="6"/>
  <c r="F66" i="4"/>
  <c r="I66" i="4" s="1"/>
  <c r="I41" i="3"/>
  <c r="I41" i="1"/>
  <c r="I40" i="8"/>
  <c r="I40" i="6"/>
  <c r="F64" i="4"/>
  <c r="I64" i="4" s="1"/>
  <c r="I40" i="3"/>
  <c r="I40" i="1"/>
  <c r="I39" i="8"/>
  <c r="I39" i="6"/>
  <c r="I62" i="4"/>
  <c r="F62" i="4"/>
  <c r="I39" i="3"/>
  <c r="I39" i="1"/>
  <c r="I38" i="8"/>
  <c r="I38" i="6"/>
  <c r="F60" i="4"/>
  <c r="I60" i="4" s="1"/>
  <c r="I38" i="3"/>
  <c r="I38" i="1"/>
  <c r="I37" i="8"/>
  <c r="I37" i="6"/>
  <c r="F58" i="4"/>
  <c r="I58" i="4" s="1"/>
  <c r="I37" i="3"/>
  <c r="I37" i="1"/>
  <c r="I36" i="1"/>
  <c r="I36" i="3"/>
  <c r="I36" i="6"/>
  <c r="I36" i="8"/>
  <c r="F56" i="4"/>
  <c r="I56" i="4" s="1"/>
  <c r="S10" i="14" l="1"/>
  <c r="T12" i="14" s="1"/>
  <c r="F54" i="4" l="1"/>
  <c r="I54" i="4" s="1"/>
  <c r="F52" i="4"/>
  <c r="I52" i="4" s="1"/>
  <c r="F50" i="4"/>
  <c r="I25" i="1"/>
  <c r="I50" i="4"/>
  <c r="I35" i="8"/>
  <c r="I34" i="8"/>
  <c r="I33" i="8"/>
  <c r="I35" i="6"/>
  <c r="I34" i="6"/>
  <c r="I33" i="6"/>
  <c r="I35" i="3"/>
  <c r="I34" i="3"/>
  <c r="I33" i="3"/>
  <c r="I35" i="1" l="1"/>
  <c r="I34" i="1"/>
  <c r="I33" i="1"/>
  <c r="O22" i="8" l="1"/>
  <c r="P26" i="8"/>
  <c r="P23" i="8"/>
  <c r="P22" i="8"/>
  <c r="P21" i="8"/>
  <c r="P19" i="8"/>
  <c r="P25" i="8"/>
  <c r="P24" i="8"/>
  <c r="P20" i="8"/>
  <c r="P18" i="8"/>
  <c r="P17" i="8"/>
  <c r="P16" i="8"/>
  <c r="P15" i="8"/>
  <c r="O26" i="8"/>
  <c r="O25" i="8"/>
  <c r="O24" i="8"/>
  <c r="O23" i="8"/>
  <c r="O21" i="8"/>
  <c r="O20" i="8"/>
  <c r="O19" i="8"/>
  <c r="O18" i="8"/>
  <c r="O17" i="8"/>
  <c r="O16" i="8"/>
  <c r="O15" i="8"/>
  <c r="Q16" i="8"/>
  <c r="T16" i="8" s="1"/>
  <c r="Q17" i="8"/>
  <c r="T17" i="8" s="1"/>
  <c r="Q18" i="8"/>
  <c r="T18" i="8" s="1"/>
  <c r="Q19" i="8"/>
  <c r="Q20" i="8"/>
  <c r="T20" i="8" s="1"/>
  <c r="Q21" i="8"/>
  <c r="S21" i="8" s="1"/>
  <c r="Q22" i="8"/>
  <c r="T22" i="8" s="1"/>
  <c r="Q23" i="8"/>
  <c r="Q24" i="8"/>
  <c r="S24" i="8" s="1"/>
  <c r="Q25" i="8"/>
  <c r="S25" i="8" s="1"/>
  <c r="Q26" i="8"/>
  <c r="T26" i="8" s="1"/>
  <c r="Q15" i="8"/>
  <c r="T15" i="8" s="1"/>
  <c r="T23" i="8"/>
  <c r="T19" i="8"/>
  <c r="F41" i="4"/>
  <c r="F39" i="4"/>
  <c r="I17" i="8"/>
  <c r="I22" i="6"/>
  <c r="I21" i="6"/>
  <c r="I20" i="6"/>
  <c r="I19" i="6"/>
  <c r="I18" i="6"/>
  <c r="I17" i="6"/>
  <c r="I16" i="6"/>
  <c r="I15" i="6"/>
  <c r="I18" i="1"/>
  <c r="I17" i="1"/>
  <c r="I31" i="4"/>
  <c r="F37" i="4"/>
  <c r="I37" i="4" s="1"/>
  <c r="F35" i="4"/>
  <c r="I35" i="4" s="1"/>
  <c r="F33" i="4"/>
  <c r="I33" i="4" s="1"/>
  <c r="F31" i="4"/>
  <c r="F29" i="4"/>
  <c r="I29" i="4" s="1"/>
  <c r="F27" i="4"/>
  <c r="I27" i="4" s="1"/>
  <c r="F25" i="4"/>
  <c r="I25" i="4" s="1"/>
  <c r="G23" i="4"/>
  <c r="F23" i="4"/>
  <c r="I23" i="4" s="1"/>
  <c r="F21" i="4"/>
  <c r="I21" i="4" s="1"/>
  <c r="F19" i="4"/>
  <c r="I19" i="4" s="1"/>
  <c r="I15" i="3"/>
  <c r="I26" i="8"/>
  <c r="I25" i="8"/>
  <c r="I24" i="8"/>
  <c r="S23" i="8"/>
  <c r="I23" i="8"/>
  <c r="I22" i="8"/>
  <c r="I21" i="8"/>
  <c r="I20" i="8"/>
  <c r="S19" i="8"/>
  <c r="I19" i="8"/>
  <c r="I18" i="8"/>
  <c r="I16" i="8"/>
  <c r="S15" i="8"/>
  <c r="I15" i="8"/>
  <c r="P39" i="4"/>
  <c r="P31" i="4"/>
  <c r="P41" i="4"/>
  <c r="P37" i="4"/>
  <c r="P35" i="4"/>
  <c r="P33" i="4"/>
  <c r="P29" i="4"/>
  <c r="P27" i="4"/>
  <c r="P25" i="4"/>
  <c r="P23" i="4"/>
  <c r="P21" i="4"/>
  <c r="O27" i="4"/>
  <c r="O41" i="4"/>
  <c r="O39" i="4"/>
  <c r="O37" i="4"/>
  <c r="O35" i="4"/>
  <c r="O33" i="4"/>
  <c r="O31" i="4"/>
  <c r="O29" i="4"/>
  <c r="O25" i="4"/>
  <c r="O23" i="4"/>
  <c r="O21" i="4"/>
  <c r="O19" i="4"/>
  <c r="Q19" i="4"/>
  <c r="S19" i="4" s="1"/>
  <c r="P19" i="4"/>
  <c r="Q26" i="3"/>
  <c r="S26" i="3" s="1"/>
  <c r="P26" i="3"/>
  <c r="O26" i="3"/>
  <c r="Q25" i="3"/>
  <c r="S25" i="3" s="1"/>
  <c r="P25" i="3"/>
  <c r="O25" i="3"/>
  <c r="Q24" i="3"/>
  <c r="T24" i="3" s="1"/>
  <c r="P24" i="3"/>
  <c r="O24" i="3"/>
  <c r="Q23" i="3"/>
  <c r="S23" i="3" s="1"/>
  <c r="P23" i="3"/>
  <c r="O23" i="3"/>
  <c r="Q22" i="3"/>
  <c r="T22" i="3" s="1"/>
  <c r="P22" i="3"/>
  <c r="O22" i="3"/>
  <c r="Q21" i="3"/>
  <c r="S21" i="3" s="1"/>
  <c r="P21" i="3"/>
  <c r="O21" i="3"/>
  <c r="Q20" i="3"/>
  <c r="T20" i="3" s="1"/>
  <c r="P20" i="3"/>
  <c r="O20" i="3"/>
  <c r="Q19" i="3"/>
  <c r="S19" i="3" s="1"/>
  <c r="P19" i="3"/>
  <c r="O19" i="3"/>
  <c r="Q18" i="3"/>
  <c r="S18" i="3" s="1"/>
  <c r="P18" i="3"/>
  <c r="O18" i="3"/>
  <c r="Q17" i="3"/>
  <c r="S17" i="3" s="1"/>
  <c r="P17" i="3"/>
  <c r="O17" i="3"/>
  <c r="Q16" i="3"/>
  <c r="T16" i="3" s="1"/>
  <c r="P16" i="3"/>
  <c r="O16" i="3"/>
  <c r="Q15" i="3"/>
  <c r="S15" i="3" s="1"/>
  <c r="P15" i="3"/>
  <c r="O15" i="3"/>
  <c r="Q26" i="1"/>
  <c r="T26" i="1" s="1"/>
  <c r="P26" i="1"/>
  <c r="O26" i="1"/>
  <c r="Q25" i="1"/>
  <c r="T25" i="1" s="1"/>
  <c r="P25" i="1"/>
  <c r="O25" i="1"/>
  <c r="Q24" i="1"/>
  <c r="S24" i="1" s="1"/>
  <c r="P24" i="1"/>
  <c r="O24" i="1"/>
  <c r="Q23" i="1"/>
  <c r="T23" i="1" s="1"/>
  <c r="P23" i="1"/>
  <c r="O23" i="1"/>
  <c r="Q22" i="1"/>
  <c r="T22" i="1" s="1"/>
  <c r="P22" i="1"/>
  <c r="O22" i="1"/>
  <c r="Q21" i="1"/>
  <c r="T21" i="1" s="1"/>
  <c r="P21" i="1"/>
  <c r="O21" i="1"/>
  <c r="Q20" i="1"/>
  <c r="S20" i="1" s="1"/>
  <c r="P20" i="1"/>
  <c r="O20" i="1"/>
  <c r="Q19" i="1"/>
  <c r="T19" i="1" s="1"/>
  <c r="P19" i="1"/>
  <c r="O19" i="1"/>
  <c r="Q18" i="1"/>
  <c r="T18" i="1" s="1"/>
  <c r="P18" i="1"/>
  <c r="O18" i="1"/>
  <c r="Q17" i="1"/>
  <c r="S17" i="1" s="1"/>
  <c r="P17" i="1"/>
  <c r="O17" i="1"/>
  <c r="Q16" i="1"/>
  <c r="S16" i="1" s="1"/>
  <c r="P16" i="1"/>
  <c r="O16" i="1"/>
  <c r="Q15" i="1"/>
  <c r="T15" i="1" s="1"/>
  <c r="P15" i="1"/>
  <c r="O15" i="1"/>
  <c r="O27" i="6"/>
  <c r="P17" i="6"/>
  <c r="P26" i="6"/>
  <c r="P25" i="6"/>
  <c r="P24" i="6"/>
  <c r="P23" i="6"/>
  <c r="P22" i="6"/>
  <c r="P21" i="6"/>
  <c r="P20" i="6"/>
  <c r="P19" i="6"/>
  <c r="P18" i="6"/>
  <c r="P16" i="6"/>
  <c r="P15" i="6"/>
  <c r="Q16" i="6"/>
  <c r="T16" i="6" s="1"/>
  <c r="Q17" i="6"/>
  <c r="S17" i="6" s="1"/>
  <c r="Q18" i="6"/>
  <c r="S18" i="6" s="1"/>
  <c r="Q19" i="6"/>
  <c r="S19" i="6" s="1"/>
  <c r="Q20" i="6"/>
  <c r="T20" i="6" s="1"/>
  <c r="Q21" i="6"/>
  <c r="S21" i="6" s="1"/>
  <c r="Q22" i="6"/>
  <c r="S22" i="6" s="1"/>
  <c r="I23" i="6"/>
  <c r="Q23" i="6"/>
  <c r="S23" i="6" s="1"/>
  <c r="I24" i="6"/>
  <c r="Q24" i="6"/>
  <c r="S24" i="6" s="1"/>
  <c r="I25" i="6"/>
  <c r="Q25" i="6"/>
  <c r="S25" i="6" s="1"/>
  <c r="I26" i="6"/>
  <c r="Q26" i="6"/>
  <c r="S26" i="6" s="1"/>
  <c r="Q15" i="6"/>
  <c r="T15" i="6" s="1"/>
  <c r="Q41" i="4"/>
  <c r="S41" i="4" s="1"/>
  <c r="I41" i="4"/>
  <c r="Q39" i="4"/>
  <c r="T39" i="4" s="1"/>
  <c r="I39" i="4"/>
  <c r="Q37" i="4"/>
  <c r="S37" i="4" s="1"/>
  <c r="Q35" i="4"/>
  <c r="T35" i="4" s="1"/>
  <c r="Q33" i="4"/>
  <c r="T33" i="4" s="1"/>
  <c r="Q31" i="4"/>
  <c r="T31" i="4" s="1"/>
  <c r="Q29" i="4"/>
  <c r="S29" i="4" s="1"/>
  <c r="Q27" i="4"/>
  <c r="T27" i="4" s="1"/>
  <c r="Q25" i="4"/>
  <c r="T25" i="4" s="1"/>
  <c r="Q23" i="4"/>
  <c r="T23" i="4" s="1"/>
  <c r="Q21" i="4"/>
  <c r="T21" i="4" s="1"/>
  <c r="I16" i="3"/>
  <c r="I17" i="3"/>
  <c r="I18" i="3"/>
  <c r="I19" i="3"/>
  <c r="I20" i="3"/>
  <c r="I21" i="3"/>
  <c r="I22" i="3"/>
  <c r="I23" i="3"/>
  <c r="I24" i="3"/>
  <c r="I25" i="3"/>
  <c r="I26" i="3"/>
  <c r="I15" i="1"/>
  <c r="I16" i="1"/>
  <c r="I19" i="1"/>
  <c r="I20" i="1"/>
  <c r="I21" i="1"/>
  <c r="I22" i="1"/>
  <c r="I23" i="1"/>
  <c r="I24" i="1"/>
  <c r="I26" i="1"/>
  <c r="S20" i="8" l="1"/>
  <c r="P27" i="1"/>
  <c r="S21" i="1"/>
  <c r="P27" i="3"/>
  <c r="S22" i="3"/>
  <c r="T37" i="4"/>
  <c r="T25" i="8"/>
  <c r="P27" i="6"/>
  <c r="P43" i="4"/>
  <c r="S20" i="6"/>
  <c r="S16" i="8"/>
  <c r="T24" i="8"/>
  <c r="O43" i="4"/>
  <c r="T25" i="6"/>
  <c r="O27" i="1"/>
  <c r="O27" i="3"/>
  <c r="T17" i="3"/>
  <c r="T16" i="1"/>
  <c r="T25" i="3"/>
  <c r="S35" i="4"/>
  <c r="T21" i="3"/>
  <c r="T20" i="1"/>
  <c r="T24" i="1"/>
  <c r="T18" i="3"/>
  <c r="T26" i="3"/>
  <c r="T18" i="6"/>
  <c r="T22" i="6"/>
  <c r="T26" i="6"/>
  <c r="S27" i="4"/>
  <c r="T17" i="6"/>
  <c r="S25" i="1"/>
  <c r="S21" i="4"/>
  <c r="T29" i="4"/>
  <c r="S18" i="8"/>
  <c r="S22" i="8"/>
  <c r="S26" i="8"/>
  <c r="S15" i="6"/>
  <c r="S23" i="4"/>
  <c r="S31" i="4"/>
  <c r="S39" i="4"/>
  <c r="T17" i="1"/>
  <c r="T15" i="3"/>
  <c r="T19" i="3"/>
  <c r="T23" i="3"/>
  <c r="T19" i="6"/>
  <c r="T23" i="6"/>
  <c r="T21" i="8"/>
  <c r="T27" i="8" s="1"/>
  <c r="T19" i="4"/>
  <c r="T21" i="6"/>
  <c r="S20" i="3"/>
  <c r="T41" i="4"/>
  <c r="S16" i="6"/>
  <c r="S16" i="3"/>
  <c r="S27" i="3" s="1"/>
  <c r="S24" i="3"/>
  <c r="S25" i="4"/>
  <c r="S33" i="4"/>
  <c r="S17" i="8"/>
  <c r="T24" i="6"/>
  <c r="S45" i="1"/>
  <c r="T47" i="1" s="1"/>
  <c r="O27" i="8"/>
  <c r="P27" i="8"/>
  <c r="S18" i="1"/>
  <c r="S22" i="1"/>
  <c r="S26" i="1"/>
  <c r="S15" i="1"/>
  <c r="S19" i="1"/>
  <c r="S23" i="1"/>
  <c r="Q8" i="12"/>
  <c r="S8" i="12" s="1"/>
  <c r="T27" i="1" l="1"/>
  <c r="O45" i="8"/>
  <c r="O45" i="6"/>
  <c r="S27" i="8"/>
  <c r="T29" i="8" s="1"/>
  <c r="S43" i="4"/>
  <c r="S45" i="8"/>
  <c r="T47" i="8" s="1"/>
  <c r="T27" i="3"/>
  <c r="T29" i="3" s="1"/>
  <c r="T45" i="6"/>
  <c r="P45" i="8"/>
  <c r="P45" i="6"/>
  <c r="T45" i="3"/>
  <c r="P45" i="3"/>
  <c r="S27" i="6"/>
  <c r="T27" i="6"/>
  <c r="T45" i="8"/>
  <c r="T43" i="4"/>
  <c r="T45" i="4" s="1"/>
  <c r="S27" i="1"/>
  <c r="T29" i="1" s="1"/>
  <c r="S45" i="3"/>
  <c r="O45" i="3"/>
  <c r="S45" i="6"/>
  <c r="Q8" i="3"/>
  <c r="Q8" i="6"/>
  <c r="T47" i="3" l="1"/>
  <c r="T29" i="6"/>
  <c r="T47" i="6"/>
  <c r="O11" i="8"/>
  <c r="Q9" i="10"/>
  <c r="Q8" i="10"/>
  <c r="S8" i="10" s="1"/>
  <c r="Q10" i="7"/>
  <c r="Q9" i="7"/>
  <c r="Q8" i="7"/>
  <c r="O14" i="4"/>
  <c r="O11" i="3"/>
  <c r="O11" i="1"/>
  <c r="O11" i="6"/>
  <c r="S8" i="6"/>
  <c r="T8" i="6"/>
  <c r="P11" i="1"/>
  <c r="P10" i="1"/>
  <c r="P9" i="1"/>
  <c r="P8" i="1"/>
  <c r="P14" i="4"/>
  <c r="P12" i="4"/>
  <c r="P10" i="4"/>
  <c r="P8" i="4"/>
  <c r="T8" i="1"/>
  <c r="S8" i="1"/>
  <c r="P12" i="1" l="1"/>
  <c r="T8" i="10"/>
  <c r="Q12" i="7"/>
  <c r="P16" i="4"/>
  <c r="I8" i="1"/>
  <c r="L9" i="7" l="1"/>
  <c r="L8" i="7"/>
  <c r="N8" i="7" s="1"/>
  <c r="L11" i="7"/>
  <c r="M8" i="7" l="1"/>
  <c r="I11" i="12"/>
  <c r="I10" i="12"/>
  <c r="I9" i="12"/>
  <c r="I8" i="12"/>
  <c r="I11" i="11"/>
  <c r="I10" i="11"/>
  <c r="I9" i="11"/>
  <c r="I8" i="11"/>
  <c r="I11" i="10"/>
  <c r="I10" i="10"/>
  <c r="I9" i="10"/>
  <c r="I8" i="10"/>
  <c r="I11" i="8"/>
  <c r="I10" i="8"/>
  <c r="I9" i="8"/>
  <c r="I8" i="8"/>
  <c r="I11" i="7"/>
  <c r="I10" i="7"/>
  <c r="I9" i="7"/>
  <c r="I8" i="7"/>
  <c r="S8" i="7" s="1"/>
  <c r="I11" i="6"/>
  <c r="I10" i="6"/>
  <c r="I9" i="6"/>
  <c r="I8" i="6"/>
  <c r="I10" i="4"/>
  <c r="I12" i="4"/>
  <c r="I14" i="4"/>
  <c r="I8" i="4"/>
  <c r="Q10" i="1"/>
  <c r="Q11" i="1"/>
  <c r="Q9" i="1"/>
  <c r="T8" i="7" l="1"/>
  <c r="U8" i="7"/>
  <c r="S9" i="7"/>
  <c r="S9" i="1"/>
  <c r="T9" i="1"/>
  <c r="S11" i="1"/>
  <c r="T11" i="1"/>
  <c r="T10" i="1"/>
  <c r="S10" i="1"/>
  <c r="P9" i="12"/>
  <c r="P8" i="12"/>
  <c r="P9" i="11"/>
  <c r="P8" i="11"/>
  <c r="P9" i="10"/>
  <c r="P10" i="8"/>
  <c r="P11" i="8"/>
  <c r="P9" i="6"/>
  <c r="P10" i="6"/>
  <c r="P11" i="6"/>
  <c r="O8" i="6"/>
  <c r="O8" i="3"/>
  <c r="P9" i="3"/>
  <c r="I11" i="3"/>
  <c r="I10" i="3"/>
  <c r="I9" i="3"/>
  <c r="I8" i="3"/>
  <c r="I9" i="1"/>
  <c r="I10" i="1"/>
  <c r="I11" i="1"/>
  <c r="O10" i="1"/>
  <c r="O9" i="1"/>
  <c r="O8" i="1"/>
  <c r="P12" i="12" l="1"/>
  <c r="O12" i="1"/>
  <c r="P12" i="11"/>
  <c r="P10" i="7"/>
  <c r="R10" i="7"/>
  <c r="U9" i="7"/>
  <c r="T9" i="7"/>
  <c r="P9" i="7"/>
  <c r="P8" i="7"/>
  <c r="Q10" i="3"/>
  <c r="S10" i="3" s="1"/>
  <c r="P10" i="3"/>
  <c r="Q9" i="8"/>
  <c r="S9" i="8" s="1"/>
  <c r="P9" i="8"/>
  <c r="T8" i="3"/>
  <c r="P8" i="3"/>
  <c r="P12" i="3" s="1"/>
  <c r="Q8" i="8"/>
  <c r="T8" i="8" s="1"/>
  <c r="P8" i="8"/>
  <c r="P12" i="8" s="1"/>
  <c r="O8" i="10"/>
  <c r="P8" i="10"/>
  <c r="P12" i="10" s="1"/>
  <c r="Q11" i="3"/>
  <c r="S11" i="3" s="1"/>
  <c r="P11" i="3"/>
  <c r="P8" i="6"/>
  <c r="P12" i="6" s="1"/>
  <c r="O9" i="8"/>
  <c r="O10" i="3"/>
  <c r="Q11" i="6"/>
  <c r="O10" i="8"/>
  <c r="Q10" i="8"/>
  <c r="O9" i="12"/>
  <c r="Q9" i="12"/>
  <c r="Q11" i="8"/>
  <c r="O8" i="8"/>
  <c r="O9" i="10"/>
  <c r="O8" i="11"/>
  <c r="O12" i="11" s="1"/>
  <c r="Q8" i="11"/>
  <c r="O8" i="12"/>
  <c r="O9" i="11"/>
  <c r="Q9" i="11"/>
  <c r="O9" i="3"/>
  <c r="Q9" i="3"/>
  <c r="O10" i="6"/>
  <c r="Q10" i="6"/>
  <c r="S8" i="3"/>
  <c r="O9" i="6"/>
  <c r="Q9" i="6"/>
  <c r="S9" i="6" s="1"/>
  <c r="S12" i="1"/>
  <c r="T12" i="1"/>
  <c r="O12" i="4"/>
  <c r="Q12" i="4"/>
  <c r="O10" i="4"/>
  <c r="Q10" i="4"/>
  <c r="Q14" i="4"/>
  <c r="O8" i="4"/>
  <c r="Q8" i="4"/>
  <c r="T10" i="3" l="1"/>
  <c r="O12" i="6"/>
  <c r="O12" i="3"/>
  <c r="P12" i="7"/>
  <c r="O12" i="12"/>
  <c r="O12" i="10"/>
  <c r="O12" i="8"/>
  <c r="S10" i="4"/>
  <c r="T10" i="4"/>
  <c r="O16" i="4"/>
  <c r="S12" i="4"/>
  <c r="T12" i="4"/>
  <c r="S14" i="4"/>
  <c r="T14" i="4"/>
  <c r="S8" i="4"/>
  <c r="T8" i="4"/>
  <c r="U10" i="7"/>
  <c r="U12" i="7" s="1"/>
  <c r="T10" i="7"/>
  <c r="T12" i="7" s="1"/>
  <c r="T11" i="3"/>
  <c r="S8" i="8"/>
  <c r="T9" i="8"/>
  <c r="T9" i="6"/>
  <c r="S10" i="6"/>
  <c r="T10" i="6"/>
  <c r="T9" i="11"/>
  <c r="S9" i="11"/>
  <c r="T8" i="12"/>
  <c r="T9" i="10"/>
  <c r="T12" i="10" s="1"/>
  <c r="S9" i="10"/>
  <c r="S12" i="10" s="1"/>
  <c r="T10" i="8"/>
  <c r="S10" i="8"/>
  <c r="S8" i="11"/>
  <c r="T8" i="11"/>
  <c r="T12" i="11" s="1"/>
  <c r="T9" i="3"/>
  <c r="S9" i="3"/>
  <c r="S12" i="3" s="1"/>
  <c r="T11" i="8"/>
  <c r="S11" i="8"/>
  <c r="S9" i="12"/>
  <c r="T9" i="12"/>
  <c r="T11" i="6"/>
  <c r="S11" i="6"/>
  <c r="T14" i="1"/>
  <c r="T12" i="3" l="1"/>
  <c r="T14" i="10"/>
  <c r="S12" i="8"/>
  <c r="T16" i="4"/>
  <c r="S16" i="4"/>
  <c r="U14" i="7"/>
  <c r="T12" i="6"/>
  <c r="S12" i="6"/>
  <c r="T12" i="12"/>
  <c r="T14" i="3"/>
  <c r="S12" i="11"/>
  <c r="T14" i="11" s="1"/>
  <c r="T12" i="8"/>
  <c r="S12" i="12"/>
  <c r="T14" i="8" l="1"/>
  <c r="T14" i="12"/>
  <c r="T18" i="4"/>
  <c r="T14" i="6"/>
</calcChain>
</file>

<file path=xl/sharedStrings.xml><?xml version="1.0" encoding="utf-8"?>
<sst xmlns="http://schemas.openxmlformats.org/spreadsheetml/2006/main" count="652" uniqueCount="89">
  <si>
    <t>Вид коммунального ресурса учитываемого  ОДПУ</t>
  </si>
  <si>
    <t>номер и дата счета РСО за отчетный период</t>
  </si>
  <si>
    <t>Площадь жилых и не жилых помещений расположенных в МКД (кв/м)</t>
  </si>
  <si>
    <t xml:space="preserve">Отчетный месяц </t>
  </si>
  <si>
    <t>Разница между объемом потребления по ОДПУ и нормативом выставленного жителям МКД за отчетный период переходящего на следующий отчетный месяц</t>
  </si>
  <si>
    <t>Калининское шоссе, д. 14Б</t>
  </si>
  <si>
    <r>
      <t xml:space="preserve">Данные по ОДПУ за отчетный период </t>
    </r>
    <r>
      <rPr>
        <b/>
        <sz val="11"/>
        <color theme="1"/>
        <rFont val="Calibri"/>
        <family val="2"/>
        <charset val="204"/>
        <scheme val="minor"/>
      </rPr>
      <t>согласно журнала</t>
    </r>
    <r>
      <rPr>
        <sz val="11"/>
        <color theme="1"/>
        <rFont val="Calibri"/>
        <family val="2"/>
        <scheme val="minor"/>
      </rPr>
      <t xml:space="preserve"> УК  и переданные в адрес РСО для учета </t>
    </r>
    <r>
      <rPr>
        <sz val="11"/>
        <color rgb="FFFF0000"/>
        <rFont val="Calibri"/>
        <family val="2"/>
        <charset val="204"/>
        <scheme val="minor"/>
      </rPr>
      <t>(Общий объем потребления по ОДПУ)</t>
    </r>
  </si>
  <si>
    <r>
      <t>Объем потребленного ресурса за отчетный период</t>
    </r>
    <r>
      <rPr>
        <sz val="11"/>
        <color rgb="FFFF0000"/>
        <rFont val="Calibri"/>
        <family val="2"/>
        <charset val="204"/>
        <scheme val="minor"/>
      </rPr>
      <t xml:space="preserve"> жилыми помещениями</t>
    </r>
    <r>
      <rPr>
        <sz val="11"/>
        <color theme="1"/>
        <rFont val="Calibri"/>
        <family val="2"/>
        <scheme val="minor"/>
      </rPr>
      <t xml:space="preserve"> (на основании данных РСО)</t>
    </r>
  </si>
  <si>
    <r>
      <t xml:space="preserve">Объем потребленного ресурса за отчетный период </t>
    </r>
    <r>
      <rPr>
        <sz val="11"/>
        <color rgb="FFFF0000"/>
        <rFont val="Calibri"/>
        <family val="2"/>
        <charset val="204"/>
        <scheme val="minor"/>
      </rPr>
      <t>не жилыми помещениями</t>
    </r>
    <r>
      <rPr>
        <sz val="11"/>
        <color theme="1"/>
        <rFont val="Calibri"/>
        <family val="2"/>
        <scheme val="minor"/>
      </rPr>
      <t xml:space="preserve"> (На основании данных РСО)</t>
    </r>
  </si>
  <si>
    <t>Объем ОДН КР на СОИ за минусом индивидуального потребления (расчетные на основании журнала и данных РСО ) 
ст.  6 - (7+8)</t>
  </si>
  <si>
    <t>Площадь ОИ для рачета ОДН</t>
  </si>
  <si>
    <t>Данные о Коллективном приборе учета установленном в МКД
 (серийный номер)</t>
  </si>
  <si>
    <t>Калининское шоссе, д. 14В</t>
  </si>
  <si>
    <t>Тариф с 01.07.2022</t>
  </si>
  <si>
    <t>Калининское шоссе, д. 16</t>
  </si>
  <si>
    <t>Калининское шоссе, д. 16 Г</t>
  </si>
  <si>
    <t>Калининское шоссе, д. 18 В</t>
  </si>
  <si>
    <t>Калининское шоссе, д. 18 Г</t>
  </si>
  <si>
    <t>Калининское шоссе, д. 33 А</t>
  </si>
  <si>
    <t>Калининское шоссе, д. 33 Б</t>
  </si>
  <si>
    <t>Калининское шоссе, д. 35</t>
  </si>
  <si>
    <t>ХВС</t>
  </si>
  <si>
    <t xml:space="preserve"> ОДН КР ХВ на СОИ выставленного РСО в бухгалтерских документах  в адрес УК </t>
  </si>
  <si>
    <t>Объем ОДН КР ХВ на СОИ выставленного РСО в адрес УК</t>
  </si>
  <si>
    <t>Объем ОДН КР ХВ на СОИ  приходящегося на 1 кв.м. площади (куб.м.)</t>
  </si>
  <si>
    <t>Размер ОДН КР ХВ на СОИ  приходящегося на 1 кв.м. площади
 (руб/1 кв.м.)</t>
  </si>
  <si>
    <t>Размер  ОДН КР ХВ на СОИ  выставленного в адрес жителей МКД по нормативу потребления (руб)</t>
  </si>
  <si>
    <t>14573245</t>
  </si>
  <si>
    <t>14572043</t>
  </si>
  <si>
    <t>130809070</t>
  </si>
  <si>
    <t>130809508</t>
  </si>
  <si>
    <t>14572095</t>
  </si>
  <si>
    <t>Приказ РЭК Тверской области № 450-нп от 16.12.2021</t>
  </si>
  <si>
    <t>ОСВ</t>
  </si>
  <si>
    <t>Приказ РЭК Тверской области № 283-нп от 25.11.2022</t>
  </si>
  <si>
    <t>Тариф с 01.12.2022</t>
  </si>
  <si>
    <t>№5997 от 31.10.22</t>
  </si>
  <si>
    <t>№ 7291 от 31.12.22</t>
  </si>
  <si>
    <t>по нормативу выставлено  больше чем по ОДПУ</t>
  </si>
  <si>
    <r>
      <rPr>
        <sz val="11"/>
        <color theme="1"/>
        <rFont val="Calibri"/>
        <family val="2"/>
        <scheme val="minor"/>
      </rPr>
      <t>по нормативу выставлено в адрес жителей меньше чем по ОДПУ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свернорматив</t>
    </r>
  </si>
  <si>
    <t>Размер корректировки по ОДН КР ОСВ на СОИ  (руб.) (ст.16*тариф)</t>
  </si>
  <si>
    <t>Перерасчет в пользу Потребителей</t>
  </si>
  <si>
    <t>Перерасчет в пользу УК</t>
  </si>
  <si>
    <t>Размер  ОДН КР ОСВ на СОИ  выставленного в адрес жителей МКД по нормативу потребления (руб)</t>
  </si>
  <si>
    <t>Объем ОДН КР ХВ/ОСВ на СОИ  выставленного в адрес жителей МКД по нормативу потребления 
(куб.м.)</t>
  </si>
  <si>
    <t>отрицательные показания на начало периода</t>
  </si>
  <si>
    <t>ИТОГО:</t>
  </si>
  <si>
    <t>не выставлен РСО (по результатам сверки)</t>
  </si>
  <si>
    <t>Размер ОДН КР ОСВ  на СОИ  приходящегося на 1 кв.м. площади
 (руб/1 кв.м.)</t>
  </si>
  <si>
    <t>Расчет по ОДПУ с 12.2022</t>
  </si>
  <si>
    <t>Расчет по ОДПУ с 11.2022</t>
  </si>
  <si>
    <t>Размер корректировки по ОДН КР ХВ на СОИ  (руб.) (ст.17 или ст. 18*тариф)</t>
  </si>
  <si>
    <t>Размер корректировки по ОДН КР ОСВ на СОИ  (руб.)                                              (ст.17 или ст. 18*тариф)</t>
  </si>
  <si>
    <t>Размер корректировки по ОДН КР ХВ на СОИ  (руб.)                                 (ст.17 или ст. 18*тариф)</t>
  </si>
  <si>
    <t>14573246</t>
  </si>
  <si>
    <t>14573247</t>
  </si>
  <si>
    <t>14573248</t>
  </si>
  <si>
    <t>14573249</t>
  </si>
  <si>
    <t>14573250</t>
  </si>
  <si>
    <t>14573251</t>
  </si>
  <si>
    <t>14573252</t>
  </si>
  <si>
    <t>14573253</t>
  </si>
  <si>
    <t>14573254</t>
  </si>
  <si>
    <t>14573255</t>
  </si>
  <si>
    <t>14573256</t>
  </si>
  <si>
    <t>14572044</t>
  </si>
  <si>
    <t>14572045</t>
  </si>
  <si>
    <t>14572046</t>
  </si>
  <si>
    <t>14572047</t>
  </si>
  <si>
    <t>14572048</t>
  </si>
  <si>
    <t>14572049</t>
  </si>
  <si>
    <t>14572050</t>
  </si>
  <si>
    <t>14572051</t>
  </si>
  <si>
    <t>14572052</t>
  </si>
  <si>
    <t>14572053</t>
  </si>
  <si>
    <t>14572054</t>
  </si>
  <si>
    <t>14572096</t>
  </si>
  <si>
    <t>14572097</t>
  </si>
  <si>
    <t>14572098</t>
  </si>
  <si>
    <t>14572099</t>
  </si>
  <si>
    <t>14572100</t>
  </si>
  <si>
    <t>14572101</t>
  </si>
  <si>
    <t>14572102</t>
  </si>
  <si>
    <t>14572103</t>
  </si>
  <si>
    <t>14572104</t>
  </si>
  <si>
    <t>14572105</t>
  </si>
  <si>
    <t>14572106</t>
  </si>
  <si>
    <t>2-я Авиационная, д.29</t>
  </si>
  <si>
    <t>214402090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</si>
</sst>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00"/>
    <numFmt numFmtId="165" formatCode="0.000"/>
    <numFmt numFmtId="166" formatCode="0.0000"/>
    <numFmt numFmtId="167" formatCode="#,##0.00\ &quot;₽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8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2" fontId="0" fillId="0" borderId="1" xfId="0" applyNumberFormat="1" applyBorder="1"/>
    <xf numFmtId="4" fontId="0" fillId="0" borderId="1" xfId="0" applyNumberFormat="1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/>
    <xf numFmtId="0" fontId="0" fillId="0" borderId="1" xfId="0" applyBorder="1" applyAlignment="1">
      <alignment horizontal="right"/>
    </xf>
    <xf numFmtId="165" fontId="0" fillId="0" borderId="2" xfId="0" applyNumberFormat="1" applyBorder="1" applyAlignment="1">
      <alignment horizontal="right"/>
    </xf>
    <xf numFmtId="2" fontId="0" fillId="0" borderId="2" xfId="0" applyNumberFormat="1" applyBorder="1"/>
    <xf numFmtId="0" fontId="0" fillId="0" borderId="2" xfId="0" applyBorder="1"/>
    <xf numFmtId="167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10" fillId="0" borderId="0" xfId="0" applyFont="1" applyAlignment="1">
      <alignment horizontal="right"/>
    </xf>
    <xf numFmtId="4" fontId="10" fillId="0" borderId="0" xfId="0" applyNumberFormat="1" applyFont="1"/>
    <xf numFmtId="164" fontId="10" fillId="0" borderId="0" xfId="0" applyNumberFormat="1" applyFont="1"/>
    <xf numFmtId="0" fontId="10" fillId="0" borderId="0" xfId="0" applyFont="1"/>
    <xf numFmtId="167" fontId="10" fillId="0" borderId="0" xfId="0" applyNumberFormat="1" applyFont="1"/>
    <xf numFmtId="166" fontId="10" fillId="0" borderId="0" xfId="0" applyNumberFormat="1" applyFont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0" xfId="0" applyNumberFormat="1"/>
    <xf numFmtId="165" fontId="10" fillId="0" borderId="0" xfId="0" applyNumberFormat="1" applyFont="1"/>
    <xf numFmtId="2" fontId="10" fillId="0" borderId="0" xfId="0" applyNumberFormat="1" applyFont="1"/>
    <xf numFmtId="165" fontId="10" fillId="0" borderId="0" xfId="2" applyNumberFormat="1" applyFont="1" applyFill="1"/>
    <xf numFmtId="165" fontId="0" fillId="0" borderId="1" xfId="0" applyNumberFormat="1" applyBorder="1" applyAlignment="1">
      <alignment horizontal="right"/>
    </xf>
    <xf numFmtId="167" fontId="0" fillId="0" borderId="0" xfId="0" applyNumberFormat="1"/>
    <xf numFmtId="165" fontId="0" fillId="2" borderId="2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0" xfId="0" applyFill="1"/>
    <xf numFmtId="164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1" fillId="0" borderId="1" xfId="0" applyNumberFormat="1" applyFont="1" applyBorder="1"/>
    <xf numFmtId="164" fontId="0" fillId="0" borderId="0" xfId="0" applyNumberFormat="1"/>
    <xf numFmtId="17" fontId="9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right"/>
    </xf>
    <xf numFmtId="167" fontId="9" fillId="0" borderId="1" xfId="0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4" fontId="12" fillId="0" borderId="0" xfId="0" applyNumberFormat="1" applyFont="1"/>
    <xf numFmtId="0" fontId="12" fillId="0" borderId="0" xfId="0" applyFont="1"/>
    <xf numFmtId="167" fontId="12" fillId="0" borderId="0" xfId="0" applyNumberFormat="1" applyFont="1"/>
    <xf numFmtId="164" fontId="9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9" fillId="0" borderId="6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4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67" fontId="9" fillId="0" borderId="2" xfId="0" applyNumberFormat="1" applyFont="1" applyBorder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7" fontId="0" fillId="0" borderId="2" xfId="0" applyNumberFormat="1" applyBorder="1" applyAlignment="1">
      <alignment horizontal="right"/>
    </xf>
    <xf numFmtId="167" fontId="0" fillId="0" borderId="3" xfId="0" applyNumberFormat="1" applyBorder="1" applyAlignment="1">
      <alignment horizontal="right"/>
    </xf>
    <xf numFmtId="3" fontId="0" fillId="0" borderId="10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0" fillId="0" borderId="12" xfId="0" applyNumberFormat="1" applyBorder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topLeftCell="A2" zoomScale="70" zoomScaleNormal="70" workbookViewId="0">
      <selection activeCell="H8" sqref="H8"/>
    </sheetView>
  </sheetViews>
  <sheetFormatPr defaultRowHeight="15" x14ac:dyDescent="0.25"/>
  <cols>
    <col min="1" max="1" width="12" style="2" customWidth="1"/>
    <col min="2" max="2" width="16.7109375" customWidth="1"/>
    <col min="3" max="3" width="11.85546875" customWidth="1"/>
    <col min="4" max="4" width="19.85546875" customWidth="1"/>
    <col min="5" max="5" width="15.28515625" customWidth="1"/>
    <col min="6" max="6" width="24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17" customWidth="1"/>
    <col min="14" max="14" width="18.28515625" customWidth="1"/>
    <col min="15" max="15" width="17" customWidth="1"/>
    <col min="16" max="16" width="20.7109375" customWidth="1"/>
    <col min="17" max="17" width="21.7109375" customWidth="1"/>
    <col min="18" max="18" width="14.140625" customWidth="1"/>
    <col min="19" max="19" width="17" customWidth="1"/>
    <col min="20" max="20" width="17.1406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0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0" x14ac:dyDescent="0.25">
      <c r="A2" s="27"/>
      <c r="B2" s="27"/>
      <c r="C2" s="27"/>
      <c r="D2" s="27"/>
      <c r="E2" s="27"/>
      <c r="F2" s="27"/>
      <c r="G2" s="27"/>
      <c r="H2" s="28"/>
      <c r="I2" s="28"/>
      <c r="J2" s="28"/>
      <c r="K2" s="28"/>
      <c r="L2" s="28"/>
      <c r="M2" s="28"/>
      <c r="N2" s="28"/>
      <c r="O2" s="29" t="s">
        <v>21</v>
      </c>
      <c r="P2" s="29" t="s">
        <v>33</v>
      </c>
      <c r="Q2" s="60" t="s">
        <v>21</v>
      </c>
      <c r="R2" s="60" t="s">
        <v>33</v>
      </c>
      <c r="S2" s="27"/>
    </row>
    <row r="3" spans="1:20" ht="16.5" customHeight="1" x14ac:dyDescent="0.25">
      <c r="A3" s="76" t="s">
        <v>87</v>
      </c>
      <c r="B3" s="76"/>
      <c r="C3" s="76"/>
      <c r="D3" s="76"/>
      <c r="H3" s="77" t="s">
        <v>32</v>
      </c>
      <c r="I3" s="77"/>
      <c r="J3" s="77"/>
      <c r="K3" s="77"/>
      <c r="L3" s="77"/>
      <c r="M3" s="77"/>
      <c r="N3" s="30" t="s">
        <v>13</v>
      </c>
      <c r="O3" s="31">
        <v>17.64</v>
      </c>
      <c r="P3" s="30">
        <v>26.93</v>
      </c>
      <c r="Q3" s="61">
        <v>21.16</v>
      </c>
      <c r="R3" s="57">
        <v>29.02</v>
      </c>
    </row>
    <row r="4" spans="1:20" ht="16.5" customHeight="1" x14ac:dyDescent="0.25">
      <c r="H4" s="77" t="s">
        <v>34</v>
      </c>
      <c r="I4" s="77"/>
      <c r="J4" s="77"/>
      <c r="K4" s="77"/>
      <c r="L4" s="77"/>
      <c r="M4" s="77"/>
      <c r="N4" s="30" t="s">
        <v>35</v>
      </c>
      <c r="O4" s="30">
        <v>21.16</v>
      </c>
      <c r="P4" s="30">
        <v>29.02</v>
      </c>
      <c r="Q4" s="57">
        <v>23.46</v>
      </c>
      <c r="R4" s="57">
        <v>31.01</v>
      </c>
    </row>
    <row r="5" spans="1:20" ht="83.25" customHeight="1" x14ac:dyDescent="0.25">
      <c r="A5" s="78" t="s">
        <v>3</v>
      </c>
      <c r="B5" s="78" t="s">
        <v>2</v>
      </c>
      <c r="C5" s="79" t="s">
        <v>10</v>
      </c>
      <c r="D5" s="78" t="s">
        <v>11</v>
      </c>
      <c r="E5" s="78" t="s">
        <v>0</v>
      </c>
      <c r="F5" s="78" t="s">
        <v>6</v>
      </c>
      <c r="G5" s="78" t="s">
        <v>7</v>
      </c>
      <c r="H5" s="78" t="s">
        <v>8</v>
      </c>
      <c r="I5" s="78" t="s">
        <v>9</v>
      </c>
      <c r="J5" s="78" t="s">
        <v>22</v>
      </c>
      <c r="K5" s="78"/>
      <c r="L5" s="78" t="s">
        <v>24</v>
      </c>
      <c r="M5" s="78" t="s">
        <v>25</v>
      </c>
      <c r="N5" s="79" t="s">
        <v>44</v>
      </c>
      <c r="O5" s="78" t="s">
        <v>26</v>
      </c>
      <c r="P5" s="78" t="s">
        <v>43</v>
      </c>
      <c r="Q5" s="78" t="s">
        <v>4</v>
      </c>
      <c r="R5" s="78"/>
      <c r="S5" s="78" t="s">
        <v>53</v>
      </c>
      <c r="T5" s="78" t="s">
        <v>52</v>
      </c>
    </row>
    <row r="6" spans="1:20" ht="92.25" customHeight="1" x14ac:dyDescent="0.25">
      <c r="A6" s="78"/>
      <c r="B6" s="78"/>
      <c r="C6" s="80"/>
      <c r="D6" s="78"/>
      <c r="E6" s="78"/>
      <c r="F6" s="78"/>
      <c r="G6" s="78"/>
      <c r="H6" s="78"/>
      <c r="I6" s="78"/>
      <c r="J6" s="3" t="s">
        <v>1</v>
      </c>
      <c r="K6" s="3" t="s">
        <v>23</v>
      </c>
      <c r="L6" s="78"/>
      <c r="M6" s="78"/>
      <c r="N6" s="80"/>
      <c r="O6" s="78"/>
      <c r="P6" s="80"/>
      <c r="Q6" s="3" t="s">
        <v>38</v>
      </c>
      <c r="R6" s="3" t="s">
        <v>39</v>
      </c>
      <c r="S6" s="78"/>
      <c r="T6" s="78"/>
    </row>
    <row r="7" spans="1:20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</row>
    <row r="8" spans="1:20" s="69" customFormat="1" x14ac:dyDescent="0.25">
      <c r="A8" s="63">
        <v>45597</v>
      </c>
      <c r="B8" s="58">
        <v>2556.4</v>
      </c>
      <c r="C8" s="58">
        <v>162.4</v>
      </c>
      <c r="D8" s="59" t="s">
        <v>88</v>
      </c>
      <c r="E8" s="58" t="s">
        <v>21</v>
      </c>
      <c r="F8" s="64">
        <v>97</v>
      </c>
      <c r="G8" s="64">
        <v>406.89100000000002</v>
      </c>
      <c r="H8" s="65"/>
      <c r="I8" s="65">
        <f>F8-(G8+H8)</f>
        <v>-309.89100000000002</v>
      </c>
      <c r="J8" s="58"/>
      <c r="K8" s="58">
        <v>0</v>
      </c>
      <c r="L8" s="58"/>
      <c r="M8" s="58"/>
      <c r="N8" s="65">
        <v>9.5489999999999995</v>
      </c>
      <c r="O8" s="66">
        <f>N8*O4</f>
        <v>202.05683999999999</v>
      </c>
      <c r="P8" s="66">
        <f>N8*P4</f>
        <v>277.11197999999996</v>
      </c>
      <c r="Q8" s="67"/>
      <c r="R8" s="30"/>
      <c r="S8" s="68">
        <f>-(N8*Q4)</f>
        <v>-224.01954000000001</v>
      </c>
      <c r="T8" s="68">
        <f>-(N8*R4)</f>
        <v>-296.11448999999999</v>
      </c>
    </row>
    <row r="9" spans="1:20" s="69" customFormat="1" x14ac:dyDescent="0.25">
      <c r="A9" s="63">
        <v>45627</v>
      </c>
      <c r="B9" s="58">
        <v>2556.4</v>
      </c>
      <c r="C9" s="58">
        <v>162.4</v>
      </c>
      <c r="D9" s="59" t="s">
        <v>88</v>
      </c>
      <c r="E9" s="58" t="s">
        <v>21</v>
      </c>
      <c r="F9" s="64">
        <v>292</v>
      </c>
      <c r="G9" s="64">
        <v>336.52699999999999</v>
      </c>
      <c r="H9" s="65"/>
      <c r="I9" s="65">
        <f>F9-(G9+H9)</f>
        <v>-44.526999999999987</v>
      </c>
      <c r="J9" s="58"/>
      <c r="K9" s="58">
        <v>0</v>
      </c>
      <c r="L9" s="58"/>
      <c r="M9" s="58"/>
      <c r="N9" s="65">
        <v>9.5489999999999995</v>
      </c>
      <c r="O9" s="66">
        <f>N9*O4</f>
        <v>202.05683999999999</v>
      </c>
      <c r="P9" s="66">
        <f>N9*P4</f>
        <v>277.11197999999996</v>
      </c>
      <c r="Q9" s="67"/>
      <c r="R9" s="30"/>
      <c r="S9" s="68">
        <f>-(N9*Q4)</f>
        <v>-224.01954000000001</v>
      </c>
      <c r="T9" s="68">
        <f>-(N9*R4)</f>
        <v>-296.11448999999999</v>
      </c>
    </row>
    <row r="10" spans="1:20" s="69" customFormat="1" x14ac:dyDescent="0.25">
      <c r="A10" s="29"/>
      <c r="B10" s="70"/>
      <c r="C10" s="70"/>
      <c r="N10" s="74">
        <f>N8+N9</f>
        <v>19.097999999999999</v>
      </c>
      <c r="O10" s="71">
        <f>SUM(O8:O9)</f>
        <v>404.11367999999999</v>
      </c>
      <c r="P10" s="71">
        <f>SUM(P8:P9)</f>
        <v>554.22395999999992</v>
      </c>
      <c r="Q10" s="72"/>
      <c r="R10" s="72"/>
      <c r="S10" s="71">
        <f>SUM(S8:S9)</f>
        <v>-448.03908000000001</v>
      </c>
      <c r="T10" s="71">
        <f>SUM(T8:T9)</f>
        <v>-592.22897999999998</v>
      </c>
    </row>
    <row r="11" spans="1:20" s="69" customFormat="1" x14ac:dyDescent="0.25">
      <c r="A11" s="29"/>
      <c r="B11" s="70"/>
      <c r="C11" s="70"/>
      <c r="O11" s="72"/>
      <c r="P11" s="72"/>
      <c r="Q11" s="72"/>
      <c r="R11" s="72" t="s">
        <v>41</v>
      </c>
      <c r="T11" s="72"/>
    </row>
    <row r="12" spans="1:20" s="69" customFormat="1" x14ac:dyDescent="0.25">
      <c r="A12" s="29"/>
      <c r="B12" s="70"/>
      <c r="C12" s="70"/>
      <c r="O12" s="72"/>
      <c r="P12" s="72"/>
      <c r="Q12" s="72"/>
      <c r="R12" s="72"/>
      <c r="S12" s="72"/>
      <c r="T12" s="73">
        <f>S10+T10</f>
        <v>-1040.2680599999999</v>
      </c>
    </row>
    <row r="13" spans="1:20" s="69" customFormat="1" x14ac:dyDescent="0.25">
      <c r="A13" s="29"/>
    </row>
  </sheetData>
  <sheetProtection algorithmName="SHA-512" hashValue="BByvkSaIv8YAdsGUrsgDwJYfV+csX9YIUdNQLLgEoU8R4ZAvbLulr2ITfiQukFYoa+BvErvy+PenJxcEMrrL/Q==" saltValue="8JRI456azi4lh9129le88Q==" spinCount="100000" sheet="1" formatCells="0" formatColumns="0" formatRows="0" insertColumns="0" insertRows="0" insertHyperlinks="0" deleteColumns="0" deleteRows="0" sort="0" autoFilter="0" pivotTables="0"/>
  <mergeCells count="22">
    <mergeCell ref="T5:T6"/>
    <mergeCell ref="G5:G6"/>
    <mergeCell ref="H5:H6"/>
    <mergeCell ref="I5:I6"/>
    <mergeCell ref="J5:K5"/>
    <mergeCell ref="L5:L6"/>
    <mergeCell ref="M5:M6"/>
    <mergeCell ref="N5:N6"/>
    <mergeCell ref="O5:O6"/>
    <mergeCell ref="P5:P6"/>
    <mergeCell ref="Q5:R5"/>
    <mergeCell ref="S5:S6"/>
    <mergeCell ref="A1:Q1"/>
    <mergeCell ref="A3:D3"/>
    <mergeCell ref="H3:M3"/>
    <mergeCell ref="H4:M4"/>
    <mergeCell ref="A5:A6"/>
    <mergeCell ref="B5:B6"/>
    <mergeCell ref="C5:C6"/>
    <mergeCell ref="D5:D6"/>
    <mergeCell ref="E5:E6"/>
    <mergeCell ref="F5:F6"/>
  </mergeCells>
  <phoneticPr fontId="4" type="noConversion"/>
  <pageMargins left="0.25" right="0.25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70" zoomScaleNormal="70" workbookViewId="0">
      <selection activeCell="N11" sqref="N11"/>
    </sheetView>
  </sheetViews>
  <sheetFormatPr defaultRowHeight="15" x14ac:dyDescent="0.25"/>
  <cols>
    <col min="1" max="1" width="12" style="2" customWidth="1"/>
    <col min="2" max="2" width="16.7109375" customWidth="1"/>
    <col min="3" max="3" width="11.85546875" customWidth="1"/>
    <col min="4" max="4" width="19.85546875" customWidth="1"/>
    <col min="5" max="5" width="15.28515625" customWidth="1"/>
    <col min="6" max="6" width="24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17" customWidth="1"/>
    <col min="14" max="14" width="18.28515625" customWidth="1"/>
    <col min="15" max="15" width="17" customWidth="1"/>
    <col min="16" max="16" width="20.7109375" customWidth="1"/>
    <col min="17" max="17" width="21.7109375" customWidth="1"/>
    <col min="18" max="18" width="17.85546875" customWidth="1"/>
    <col min="19" max="19" width="17" customWidth="1"/>
    <col min="20" max="20" width="17.1406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0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0" x14ac:dyDescent="0.25">
      <c r="A2" s="27"/>
      <c r="B2" s="27"/>
      <c r="C2" s="27"/>
      <c r="D2" s="27"/>
      <c r="E2" s="27"/>
      <c r="F2" s="27"/>
      <c r="G2" s="27"/>
      <c r="H2" s="28"/>
      <c r="I2" s="28"/>
      <c r="J2" s="28"/>
      <c r="K2" s="28"/>
      <c r="L2" s="28"/>
      <c r="M2" s="28"/>
      <c r="N2" s="28"/>
      <c r="O2" s="29" t="s">
        <v>21</v>
      </c>
      <c r="P2" s="29" t="s">
        <v>33</v>
      </c>
      <c r="Q2" s="60" t="s">
        <v>21</v>
      </c>
      <c r="R2" s="60" t="s">
        <v>33</v>
      </c>
      <c r="S2" s="27"/>
    </row>
    <row r="3" spans="1:20" ht="16.5" customHeight="1" x14ac:dyDescent="0.25">
      <c r="A3" s="76" t="s">
        <v>5</v>
      </c>
      <c r="B3" s="76"/>
      <c r="C3" s="76"/>
      <c r="D3" s="76"/>
      <c r="H3" s="77" t="s">
        <v>32</v>
      </c>
      <c r="I3" s="77"/>
      <c r="J3" s="77"/>
      <c r="K3" s="77"/>
      <c r="L3" s="77"/>
      <c r="M3" s="77"/>
      <c r="N3" s="30" t="s">
        <v>13</v>
      </c>
      <c r="O3" s="31">
        <v>17.64</v>
      </c>
      <c r="P3" s="30">
        <v>26.93</v>
      </c>
      <c r="Q3" s="61">
        <v>21.16</v>
      </c>
      <c r="R3" s="57">
        <v>29.02</v>
      </c>
    </row>
    <row r="4" spans="1:20" ht="16.5" customHeight="1" x14ac:dyDescent="0.25">
      <c r="H4" s="77" t="s">
        <v>34</v>
      </c>
      <c r="I4" s="77"/>
      <c r="J4" s="77"/>
      <c r="K4" s="77"/>
      <c r="L4" s="77"/>
      <c r="M4" s="77"/>
      <c r="N4" s="30" t="s">
        <v>35</v>
      </c>
      <c r="O4" s="30">
        <v>21.16</v>
      </c>
      <c r="P4" s="30">
        <v>29.02</v>
      </c>
      <c r="Q4" s="57">
        <v>23.46</v>
      </c>
      <c r="R4" s="57">
        <v>31.01</v>
      </c>
    </row>
    <row r="5" spans="1:20" ht="83.25" customHeight="1" x14ac:dyDescent="0.25">
      <c r="A5" s="78" t="s">
        <v>3</v>
      </c>
      <c r="B5" s="78" t="s">
        <v>2</v>
      </c>
      <c r="C5" s="79" t="s">
        <v>10</v>
      </c>
      <c r="D5" s="78" t="s">
        <v>11</v>
      </c>
      <c r="E5" s="78" t="s">
        <v>0</v>
      </c>
      <c r="F5" s="78" t="s">
        <v>6</v>
      </c>
      <c r="G5" s="78" t="s">
        <v>7</v>
      </c>
      <c r="H5" s="78" t="s">
        <v>8</v>
      </c>
      <c r="I5" s="78" t="s">
        <v>9</v>
      </c>
      <c r="J5" s="78" t="s">
        <v>22</v>
      </c>
      <c r="K5" s="78"/>
      <c r="L5" s="78" t="s">
        <v>24</v>
      </c>
      <c r="M5" s="78" t="s">
        <v>25</v>
      </c>
      <c r="N5" s="79" t="s">
        <v>44</v>
      </c>
      <c r="O5" s="78" t="s">
        <v>26</v>
      </c>
      <c r="P5" s="78" t="s">
        <v>43</v>
      </c>
      <c r="Q5" s="78" t="s">
        <v>4</v>
      </c>
      <c r="R5" s="78"/>
      <c r="S5" s="78" t="s">
        <v>53</v>
      </c>
      <c r="T5" s="78" t="s">
        <v>52</v>
      </c>
    </row>
    <row r="6" spans="1:20" ht="92.25" customHeight="1" x14ac:dyDescent="0.25">
      <c r="A6" s="78"/>
      <c r="B6" s="78"/>
      <c r="C6" s="80"/>
      <c r="D6" s="78"/>
      <c r="E6" s="78"/>
      <c r="F6" s="78"/>
      <c r="G6" s="78"/>
      <c r="H6" s="78"/>
      <c r="I6" s="78"/>
      <c r="J6" s="3" t="s">
        <v>1</v>
      </c>
      <c r="K6" s="3" t="s">
        <v>23</v>
      </c>
      <c r="L6" s="78"/>
      <c r="M6" s="78"/>
      <c r="N6" s="80"/>
      <c r="O6" s="78"/>
      <c r="P6" s="80"/>
      <c r="Q6" s="3" t="s">
        <v>38</v>
      </c>
      <c r="R6" s="3" t="s">
        <v>39</v>
      </c>
      <c r="S6" s="78"/>
      <c r="T6" s="78"/>
    </row>
    <row r="7" spans="1:20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</row>
    <row r="8" spans="1:20" ht="30.75" hidden="1" customHeight="1" x14ac:dyDescent="0.25">
      <c r="A8" s="5">
        <v>44805</v>
      </c>
      <c r="B8" s="8">
        <v>2773.9</v>
      </c>
      <c r="C8" s="8">
        <v>298.39999999999998</v>
      </c>
      <c r="D8" s="21" t="s">
        <v>27</v>
      </c>
      <c r="E8" s="8" t="s">
        <v>21</v>
      </c>
      <c r="F8" s="56">
        <v>566</v>
      </c>
      <c r="G8" s="56">
        <v>521.91300000000001</v>
      </c>
      <c r="H8" s="16">
        <v>0</v>
      </c>
      <c r="I8" s="16">
        <f>F8-(G8+H8)</f>
        <v>44.086999999999989</v>
      </c>
      <c r="J8" s="81" t="s">
        <v>45</v>
      </c>
      <c r="K8" s="82"/>
      <c r="L8" s="23"/>
      <c r="M8" s="15"/>
      <c r="N8" s="16">
        <v>9.5489999999999995</v>
      </c>
      <c r="O8" s="9">
        <f>N8*O3</f>
        <v>168.44435999999999</v>
      </c>
      <c r="P8" s="9">
        <f>N8*P3</f>
        <v>257.15456999999998</v>
      </c>
      <c r="Q8" s="16">
        <v>9.5489999999999995</v>
      </c>
      <c r="R8" s="16"/>
      <c r="S8" s="36">
        <f>-(Q8*O3)</f>
        <v>-168.44435999999999</v>
      </c>
      <c r="T8" s="36">
        <f>-(Q8*P3)</f>
        <v>-257.15456999999998</v>
      </c>
    </row>
    <row r="9" spans="1:20" hidden="1" x14ac:dyDescent="0.25">
      <c r="A9" s="5">
        <v>44835</v>
      </c>
      <c r="B9" s="8">
        <v>2774.9</v>
      </c>
      <c r="C9" s="8">
        <v>298.39999999999998</v>
      </c>
      <c r="D9" s="21" t="s">
        <v>27</v>
      </c>
      <c r="E9" s="8" t="s">
        <v>21</v>
      </c>
      <c r="F9" s="56">
        <v>503</v>
      </c>
      <c r="G9" s="56">
        <v>565.52099999999996</v>
      </c>
      <c r="H9" s="16">
        <v>0</v>
      </c>
      <c r="I9" s="16">
        <f t="shared" ref="I9:I11" si="0">F9-(G9+H9)</f>
        <v>-62.520999999999958</v>
      </c>
      <c r="J9" s="8"/>
      <c r="K9" s="8">
        <v>0</v>
      </c>
      <c r="L9" s="8"/>
      <c r="M9" s="8"/>
      <c r="N9" s="16">
        <v>9.5489999999999995</v>
      </c>
      <c r="O9" s="9">
        <f>N9*O3</f>
        <v>168.44435999999999</v>
      </c>
      <c r="P9" s="9">
        <f>N9*P3</f>
        <v>257.15456999999998</v>
      </c>
      <c r="Q9" s="16">
        <f>N9</f>
        <v>9.5489999999999995</v>
      </c>
      <c r="R9" s="8"/>
      <c r="S9" s="36">
        <f>-(Q9*O3)</f>
        <v>-168.44435999999999</v>
      </c>
      <c r="T9" s="36">
        <f>-(Q9*P3)</f>
        <v>-257.15456999999998</v>
      </c>
    </row>
    <row r="10" spans="1:20" hidden="1" x14ac:dyDescent="0.25">
      <c r="A10" s="5">
        <v>44866</v>
      </c>
      <c r="B10" s="6">
        <v>2775.9</v>
      </c>
      <c r="C10" s="6">
        <v>298.39999999999998</v>
      </c>
      <c r="D10" s="21" t="s">
        <v>27</v>
      </c>
      <c r="E10" s="6" t="s">
        <v>21</v>
      </c>
      <c r="F10" s="55">
        <v>527</v>
      </c>
      <c r="G10" s="55">
        <v>575.779</v>
      </c>
      <c r="H10" s="17">
        <v>0</v>
      </c>
      <c r="I10" s="16">
        <f t="shared" si="0"/>
        <v>-48.778999999999996</v>
      </c>
      <c r="J10" s="6"/>
      <c r="K10" s="6">
        <v>0</v>
      </c>
      <c r="L10" s="6"/>
      <c r="M10" s="6"/>
      <c r="N10" s="17">
        <v>9.5489999999999995</v>
      </c>
      <c r="O10" s="9">
        <f>N10*O3</f>
        <v>168.44435999999999</v>
      </c>
      <c r="P10" s="9">
        <f>N10*P3</f>
        <v>257.15456999999998</v>
      </c>
      <c r="Q10" s="16">
        <f t="shared" ref="Q10:Q11" si="1">N10</f>
        <v>9.5489999999999995</v>
      </c>
      <c r="R10" s="6"/>
      <c r="S10" s="36">
        <f>-(Q10*O3)</f>
        <v>-168.44435999999999</v>
      </c>
      <c r="T10" s="36">
        <f>-(Q10*P3)</f>
        <v>-257.15456999999998</v>
      </c>
    </row>
    <row r="11" spans="1:20" hidden="1" x14ac:dyDescent="0.25">
      <c r="A11" s="5">
        <v>44896</v>
      </c>
      <c r="B11" s="6">
        <v>2774.9</v>
      </c>
      <c r="C11" s="6">
        <v>298.39999999999998</v>
      </c>
      <c r="D11" s="21" t="s">
        <v>27</v>
      </c>
      <c r="E11" s="6" t="s">
        <v>21</v>
      </c>
      <c r="F11" s="55">
        <v>473</v>
      </c>
      <c r="G11" s="55">
        <v>549.94299999999998</v>
      </c>
      <c r="H11" s="17">
        <v>0</v>
      </c>
      <c r="I11" s="17">
        <f t="shared" si="0"/>
        <v>-76.942999999999984</v>
      </c>
      <c r="J11" s="6"/>
      <c r="K11" s="6">
        <v>0</v>
      </c>
      <c r="L11" s="6"/>
      <c r="M11" s="6"/>
      <c r="N11" s="17">
        <v>9.5489999999999995</v>
      </c>
      <c r="O11" s="11">
        <f>N11*O4</f>
        <v>202.05683999999999</v>
      </c>
      <c r="P11" s="11">
        <f>N11*P4</f>
        <v>277.11197999999996</v>
      </c>
      <c r="Q11" s="17">
        <f t="shared" si="1"/>
        <v>9.5489999999999995</v>
      </c>
      <c r="R11" s="6"/>
      <c r="S11" s="36">
        <f>-(Q11*O4)</f>
        <v>-202.05683999999999</v>
      </c>
      <c r="T11" s="36">
        <f>-(Q11*P4)</f>
        <v>-277.11197999999996</v>
      </c>
    </row>
    <row r="12" spans="1:20" hidden="1" x14ac:dyDescent="0.25">
      <c r="B12" s="1"/>
      <c r="C12" s="1"/>
      <c r="F12" s="54"/>
      <c r="G12" s="54"/>
      <c r="N12" s="38" t="s">
        <v>46</v>
      </c>
      <c r="O12" s="39">
        <f>SUM(O8:O11)</f>
        <v>707.38991999999996</v>
      </c>
      <c r="P12" s="39">
        <f>SUM(P8:P11)</f>
        <v>1048.5756899999999</v>
      </c>
      <c r="Q12" s="40"/>
      <c r="R12" s="41"/>
      <c r="S12" s="42">
        <f>SUM(S8:S11)</f>
        <v>-707.38991999999996</v>
      </c>
      <c r="T12" s="42">
        <f>SUM(T8:T11)</f>
        <v>-1048.5756899999999</v>
      </c>
    </row>
    <row r="13" spans="1:20" hidden="1" x14ac:dyDescent="0.25">
      <c r="B13" s="1"/>
      <c r="C13" s="1"/>
      <c r="F13" s="54"/>
      <c r="G13" s="54"/>
      <c r="R13" s="41" t="s">
        <v>41</v>
      </c>
      <c r="T13" s="41"/>
    </row>
    <row r="14" spans="1:20" hidden="1" x14ac:dyDescent="0.25">
      <c r="B14" s="1"/>
      <c r="C14" s="1"/>
      <c r="F14" s="54"/>
      <c r="G14" s="54"/>
      <c r="S14" s="41"/>
      <c r="T14" s="42">
        <f>T12+S12</f>
        <v>-1755.9656099999997</v>
      </c>
    </row>
    <row r="15" spans="1:20" hidden="1" x14ac:dyDescent="0.25">
      <c r="A15" s="5">
        <v>44927</v>
      </c>
      <c r="B15" s="6">
        <v>2774.9</v>
      </c>
      <c r="C15" s="6">
        <v>298.39999999999998</v>
      </c>
      <c r="D15" s="21" t="s">
        <v>27</v>
      </c>
      <c r="E15" s="6" t="s">
        <v>21</v>
      </c>
      <c r="F15" s="55">
        <v>589</v>
      </c>
      <c r="G15" s="55">
        <v>558.61699999999996</v>
      </c>
      <c r="H15" s="17">
        <v>63</v>
      </c>
      <c r="I15" s="17">
        <f>F15-(G15+H15)</f>
        <v>-32.616999999999962</v>
      </c>
      <c r="J15" s="6"/>
      <c r="K15" s="6">
        <v>0</v>
      </c>
      <c r="L15" s="6"/>
      <c r="M15" s="6"/>
      <c r="N15" s="17">
        <v>9.5489999999999995</v>
      </c>
      <c r="O15" s="11">
        <f>N15*O4</f>
        <v>202.05683999999999</v>
      </c>
      <c r="P15" s="11">
        <f>N15*P4</f>
        <v>277.11197999999996</v>
      </c>
      <c r="Q15" s="50">
        <f t="shared" ref="Q15:Q26" si="2">N15</f>
        <v>9.5489999999999995</v>
      </c>
      <c r="R15" s="7"/>
      <c r="S15" s="36">
        <f>-(Q15*O4)</f>
        <v>-202.05683999999999</v>
      </c>
      <c r="T15" s="36">
        <f>-(Q15*P4)</f>
        <v>-277.11197999999996</v>
      </c>
    </row>
    <row r="16" spans="1:20" hidden="1" x14ac:dyDescent="0.25">
      <c r="A16" s="5">
        <v>44958</v>
      </c>
      <c r="B16" s="6">
        <v>2774.9</v>
      </c>
      <c r="C16" s="6">
        <v>298.39999999999998</v>
      </c>
      <c r="D16" s="21" t="s">
        <v>54</v>
      </c>
      <c r="E16" s="6" t="s">
        <v>21</v>
      </c>
      <c r="F16" s="55">
        <v>487</v>
      </c>
      <c r="G16" s="55">
        <v>588.1</v>
      </c>
      <c r="H16" s="17">
        <v>80</v>
      </c>
      <c r="I16" s="17">
        <f t="shared" ref="I16:I26" si="3">F16-(G16+H16)</f>
        <v>-181.10000000000002</v>
      </c>
      <c r="J16" s="6"/>
      <c r="K16" s="6">
        <v>0</v>
      </c>
      <c r="L16" s="6"/>
      <c r="M16" s="6"/>
      <c r="N16" s="17">
        <v>9.5489999999999995</v>
      </c>
      <c r="O16" s="11">
        <f>N16*O4</f>
        <v>202.05683999999999</v>
      </c>
      <c r="P16" s="11">
        <f>N16*P4</f>
        <v>277.11197999999996</v>
      </c>
      <c r="Q16" s="50">
        <f t="shared" si="2"/>
        <v>9.5489999999999995</v>
      </c>
      <c r="R16" s="7"/>
      <c r="S16" s="36">
        <f>-(Q16*O4)</f>
        <v>-202.05683999999999</v>
      </c>
      <c r="T16" s="36">
        <f>-(Q16*P4)</f>
        <v>-277.11197999999996</v>
      </c>
    </row>
    <row r="17" spans="1:20" hidden="1" x14ac:dyDescent="0.25">
      <c r="A17" s="5">
        <v>44986</v>
      </c>
      <c r="B17" s="6">
        <v>2774.9</v>
      </c>
      <c r="C17" s="6">
        <v>298.39999999999998</v>
      </c>
      <c r="D17" s="21" t="s">
        <v>55</v>
      </c>
      <c r="E17" s="6" t="s">
        <v>21</v>
      </c>
      <c r="F17" s="55">
        <v>559</v>
      </c>
      <c r="G17" s="55">
        <v>402.38299999999998</v>
      </c>
      <c r="H17" s="17">
        <v>54</v>
      </c>
      <c r="I17" s="17">
        <f>F17-(G17+H17)</f>
        <v>102.61700000000002</v>
      </c>
      <c r="J17" s="6"/>
      <c r="K17" s="6">
        <v>0</v>
      </c>
      <c r="L17" s="6"/>
      <c r="M17" s="6"/>
      <c r="N17" s="17">
        <v>9.5489999999999995</v>
      </c>
      <c r="O17" s="11">
        <f>N17*O4</f>
        <v>202.05683999999999</v>
      </c>
      <c r="P17" s="11">
        <f>N17*P4</f>
        <v>277.11197999999996</v>
      </c>
      <c r="Q17" s="50">
        <f t="shared" si="2"/>
        <v>9.5489999999999995</v>
      </c>
      <c r="R17" s="7"/>
      <c r="S17" s="36">
        <f>-(Q17*O4)</f>
        <v>-202.05683999999999</v>
      </c>
      <c r="T17" s="36">
        <f>-(Q17*P4)</f>
        <v>-277.11197999999996</v>
      </c>
    </row>
    <row r="18" spans="1:20" hidden="1" x14ac:dyDescent="0.25">
      <c r="A18" s="5">
        <v>45017</v>
      </c>
      <c r="B18" s="6">
        <v>2774.9</v>
      </c>
      <c r="C18" s="6">
        <v>298.39999999999998</v>
      </c>
      <c r="D18" s="21" t="s">
        <v>56</v>
      </c>
      <c r="E18" s="6" t="s">
        <v>21</v>
      </c>
      <c r="F18" s="55">
        <v>595</v>
      </c>
      <c r="G18" s="55">
        <v>547.00099999999998</v>
      </c>
      <c r="H18" s="17">
        <v>46</v>
      </c>
      <c r="I18" s="17">
        <f>F18-(G18+H18)</f>
        <v>1.9990000000000236</v>
      </c>
      <c r="J18" s="6"/>
      <c r="K18" s="6">
        <v>0</v>
      </c>
      <c r="L18" s="6"/>
      <c r="M18" s="6"/>
      <c r="N18" s="17">
        <v>9.5489999999999995</v>
      </c>
      <c r="O18" s="11">
        <f>N18*O4</f>
        <v>202.05683999999999</v>
      </c>
      <c r="P18" s="11">
        <f>N18*P4</f>
        <v>277.11197999999996</v>
      </c>
      <c r="Q18" s="50">
        <f t="shared" si="2"/>
        <v>9.5489999999999995</v>
      </c>
      <c r="R18" s="7"/>
      <c r="S18" s="36">
        <f>-(Q18*O4)</f>
        <v>-202.05683999999999</v>
      </c>
      <c r="T18" s="36">
        <f>-(Q18*P4)</f>
        <v>-277.11197999999996</v>
      </c>
    </row>
    <row r="19" spans="1:20" hidden="1" x14ac:dyDescent="0.25">
      <c r="A19" s="5">
        <v>45047</v>
      </c>
      <c r="B19" s="6">
        <v>2774.9</v>
      </c>
      <c r="C19" s="6">
        <v>298.39999999999998</v>
      </c>
      <c r="D19" s="21" t="s">
        <v>57</v>
      </c>
      <c r="E19" s="6" t="s">
        <v>21</v>
      </c>
      <c r="F19" s="55">
        <v>492</v>
      </c>
      <c r="G19" s="55">
        <v>542.32399999999996</v>
      </c>
      <c r="H19" s="17">
        <v>66</v>
      </c>
      <c r="I19" s="17">
        <f t="shared" si="3"/>
        <v>-116.32399999999996</v>
      </c>
      <c r="J19" s="6"/>
      <c r="K19" s="6">
        <v>0</v>
      </c>
      <c r="L19" s="6"/>
      <c r="M19" s="6"/>
      <c r="N19" s="17">
        <v>9.5489999999999995</v>
      </c>
      <c r="O19" s="11">
        <f>N19*O4</f>
        <v>202.05683999999999</v>
      </c>
      <c r="P19" s="11">
        <f>N19*P4</f>
        <v>277.11197999999996</v>
      </c>
      <c r="Q19" s="50">
        <f t="shared" si="2"/>
        <v>9.5489999999999995</v>
      </c>
      <c r="R19" s="7"/>
      <c r="S19" s="36">
        <f>-(Q19*O4)</f>
        <v>-202.05683999999999</v>
      </c>
      <c r="T19" s="36">
        <f>-(Q19*P4)</f>
        <v>-277.11197999999996</v>
      </c>
    </row>
    <row r="20" spans="1:20" hidden="1" x14ac:dyDescent="0.25">
      <c r="A20" s="5">
        <v>45078</v>
      </c>
      <c r="B20" s="6">
        <v>2774.9</v>
      </c>
      <c r="C20" s="6">
        <v>298.39999999999998</v>
      </c>
      <c r="D20" s="21" t="s">
        <v>58</v>
      </c>
      <c r="E20" s="6" t="s">
        <v>21</v>
      </c>
      <c r="F20" s="55">
        <v>421</v>
      </c>
      <c r="G20" s="55">
        <v>494.39</v>
      </c>
      <c r="H20" s="17">
        <v>73</v>
      </c>
      <c r="I20" s="17">
        <f t="shared" si="3"/>
        <v>-146.38999999999999</v>
      </c>
      <c r="J20" s="6"/>
      <c r="K20" s="6">
        <v>0</v>
      </c>
      <c r="L20" s="6"/>
      <c r="M20" s="6"/>
      <c r="N20" s="17">
        <v>9.5489999999999995</v>
      </c>
      <c r="O20" s="11">
        <f>N20*O4</f>
        <v>202.05683999999999</v>
      </c>
      <c r="P20" s="11">
        <f>N20*P4</f>
        <v>277.11197999999996</v>
      </c>
      <c r="Q20" s="50">
        <f t="shared" si="2"/>
        <v>9.5489999999999995</v>
      </c>
      <c r="R20" s="7"/>
      <c r="S20" s="36">
        <f>-(Q20*O4)</f>
        <v>-202.05683999999999</v>
      </c>
      <c r="T20" s="36">
        <f>-(Q20*P4)</f>
        <v>-277.11197999999996</v>
      </c>
    </row>
    <row r="21" spans="1:20" hidden="1" x14ac:dyDescent="0.25">
      <c r="A21" s="5">
        <v>45108</v>
      </c>
      <c r="B21" s="6">
        <v>2774.9</v>
      </c>
      <c r="C21" s="6">
        <v>298.39999999999998</v>
      </c>
      <c r="D21" s="21" t="s">
        <v>59</v>
      </c>
      <c r="E21" s="6" t="s">
        <v>21</v>
      </c>
      <c r="F21" s="55">
        <v>475</v>
      </c>
      <c r="G21" s="55">
        <v>540.83799999999997</v>
      </c>
      <c r="H21" s="17">
        <v>78</v>
      </c>
      <c r="I21" s="17">
        <f t="shared" si="3"/>
        <v>-143.83799999999997</v>
      </c>
      <c r="J21" s="6"/>
      <c r="K21" s="6">
        <v>0</v>
      </c>
      <c r="L21" s="6"/>
      <c r="M21" s="6"/>
      <c r="N21" s="17">
        <v>9.5489999999999995</v>
      </c>
      <c r="O21" s="11">
        <f>N21*O4</f>
        <v>202.05683999999999</v>
      </c>
      <c r="P21" s="11">
        <f>N21*P4</f>
        <v>277.11197999999996</v>
      </c>
      <c r="Q21" s="50">
        <f t="shared" si="2"/>
        <v>9.5489999999999995</v>
      </c>
      <c r="R21" s="7"/>
      <c r="S21" s="36">
        <f>-(Q21*O4)</f>
        <v>-202.05683999999999</v>
      </c>
      <c r="T21" s="36">
        <f>-(Q21*P4)</f>
        <v>-277.11197999999996</v>
      </c>
    </row>
    <row r="22" spans="1:20" hidden="1" x14ac:dyDescent="0.25">
      <c r="A22" s="5">
        <v>45139</v>
      </c>
      <c r="B22" s="6">
        <v>2774.9</v>
      </c>
      <c r="C22" s="6">
        <v>298.39999999999998</v>
      </c>
      <c r="D22" s="21" t="s">
        <v>60</v>
      </c>
      <c r="E22" s="6" t="s">
        <v>21</v>
      </c>
      <c r="F22" s="55">
        <v>618</v>
      </c>
      <c r="G22" s="55">
        <v>549.60699999999997</v>
      </c>
      <c r="H22" s="17">
        <v>95</v>
      </c>
      <c r="I22" s="17">
        <f t="shared" si="3"/>
        <v>-26.606999999999971</v>
      </c>
      <c r="J22" s="6"/>
      <c r="K22" s="6">
        <v>0</v>
      </c>
      <c r="L22" s="6"/>
      <c r="M22" s="6"/>
      <c r="N22" s="17">
        <v>9.5489999999999995</v>
      </c>
      <c r="O22" s="11">
        <f>N22*O4</f>
        <v>202.05683999999999</v>
      </c>
      <c r="P22" s="11">
        <f>N22*P4</f>
        <v>277.11197999999996</v>
      </c>
      <c r="Q22" s="50">
        <f t="shared" si="2"/>
        <v>9.5489999999999995</v>
      </c>
      <c r="R22" s="7"/>
      <c r="S22" s="36">
        <f>-(Q22*O4)</f>
        <v>-202.05683999999999</v>
      </c>
      <c r="T22" s="36">
        <f>-(Q22*P4)</f>
        <v>-277.11197999999996</v>
      </c>
    </row>
    <row r="23" spans="1:20" hidden="1" x14ac:dyDescent="0.25">
      <c r="A23" s="5">
        <v>45170</v>
      </c>
      <c r="B23" s="6">
        <v>2774.9</v>
      </c>
      <c r="C23" s="6">
        <v>298.39999999999998</v>
      </c>
      <c r="D23" s="21" t="s">
        <v>61</v>
      </c>
      <c r="E23" s="6" t="s">
        <v>21</v>
      </c>
      <c r="F23" s="55">
        <v>489</v>
      </c>
      <c r="G23" s="55">
        <v>547.86599999999999</v>
      </c>
      <c r="H23" s="17">
        <v>58</v>
      </c>
      <c r="I23" s="17">
        <f t="shared" si="3"/>
        <v>-116.86599999999999</v>
      </c>
      <c r="J23" s="6"/>
      <c r="K23" s="6">
        <v>0</v>
      </c>
      <c r="L23" s="6"/>
      <c r="M23" s="6"/>
      <c r="N23" s="17">
        <v>9.5489999999999995</v>
      </c>
      <c r="O23" s="11">
        <f>N23*O4</f>
        <v>202.05683999999999</v>
      </c>
      <c r="P23" s="11">
        <f>N23*P4</f>
        <v>277.11197999999996</v>
      </c>
      <c r="Q23" s="50">
        <f t="shared" si="2"/>
        <v>9.5489999999999995</v>
      </c>
      <c r="R23" s="7"/>
      <c r="S23" s="36">
        <f>-(Q23*O4)</f>
        <v>-202.05683999999999</v>
      </c>
      <c r="T23" s="36">
        <f>-(Q23*P4)</f>
        <v>-277.11197999999996</v>
      </c>
    </row>
    <row r="24" spans="1:20" hidden="1" x14ac:dyDescent="0.25">
      <c r="A24" s="5">
        <v>45200</v>
      </c>
      <c r="B24" s="6">
        <v>2774.9</v>
      </c>
      <c r="C24" s="6">
        <v>298.39999999999998</v>
      </c>
      <c r="D24" s="21" t="s">
        <v>62</v>
      </c>
      <c r="E24" s="6" t="s">
        <v>21</v>
      </c>
      <c r="F24" s="55">
        <v>560</v>
      </c>
      <c r="G24" s="55">
        <v>518.64400000000001</v>
      </c>
      <c r="H24" s="17">
        <v>60</v>
      </c>
      <c r="I24" s="17">
        <f t="shared" si="3"/>
        <v>-18.644000000000005</v>
      </c>
      <c r="J24" s="6"/>
      <c r="K24" s="6">
        <v>0</v>
      </c>
      <c r="L24" s="6"/>
      <c r="M24" s="6"/>
      <c r="N24" s="17">
        <v>9.5489999999999995</v>
      </c>
      <c r="O24" s="11">
        <f>N24*O4</f>
        <v>202.05683999999999</v>
      </c>
      <c r="P24" s="11">
        <f>N24*P4</f>
        <v>277.11197999999996</v>
      </c>
      <c r="Q24" s="50">
        <f t="shared" si="2"/>
        <v>9.5489999999999995</v>
      </c>
      <c r="R24" s="7"/>
      <c r="S24" s="36">
        <f>-(Q24*O4)</f>
        <v>-202.05683999999999</v>
      </c>
      <c r="T24" s="36">
        <f>-(Q24*P4)</f>
        <v>-277.11197999999996</v>
      </c>
    </row>
    <row r="25" spans="1:20" hidden="1" x14ac:dyDescent="0.25">
      <c r="A25" s="5">
        <v>45231</v>
      </c>
      <c r="B25" s="6">
        <v>2774.9</v>
      </c>
      <c r="C25" s="6">
        <v>298.39999999999998</v>
      </c>
      <c r="D25" s="21" t="s">
        <v>63</v>
      </c>
      <c r="E25" s="6" t="s">
        <v>21</v>
      </c>
      <c r="F25" s="55">
        <v>557</v>
      </c>
      <c r="G25" s="55">
        <v>517.01900000000001</v>
      </c>
      <c r="H25" s="17">
        <v>58</v>
      </c>
      <c r="I25" s="17">
        <f>F25-(G25+H25)</f>
        <v>-18.019000000000005</v>
      </c>
      <c r="J25" s="6"/>
      <c r="K25" s="6">
        <v>0</v>
      </c>
      <c r="L25" s="6"/>
      <c r="M25" s="6"/>
      <c r="N25" s="17">
        <v>9.5489999999999995</v>
      </c>
      <c r="O25" s="11">
        <f>N25*O4</f>
        <v>202.05683999999999</v>
      </c>
      <c r="P25" s="11">
        <f>N25*P4</f>
        <v>277.11197999999996</v>
      </c>
      <c r="Q25" s="50">
        <f t="shared" si="2"/>
        <v>9.5489999999999995</v>
      </c>
      <c r="R25" s="7"/>
      <c r="S25" s="36">
        <f>-(Q25*O4)</f>
        <v>-202.05683999999999</v>
      </c>
      <c r="T25" s="36">
        <f>-(Q25*P4)</f>
        <v>-277.11197999999996</v>
      </c>
    </row>
    <row r="26" spans="1:20" hidden="1" x14ac:dyDescent="0.25">
      <c r="A26" s="5">
        <v>45261</v>
      </c>
      <c r="B26" s="6">
        <v>2774.9</v>
      </c>
      <c r="C26" s="6">
        <v>298.39999999999998</v>
      </c>
      <c r="D26" s="21" t="s">
        <v>64</v>
      </c>
      <c r="E26" s="6" t="s">
        <v>21</v>
      </c>
      <c r="F26" s="55">
        <v>538</v>
      </c>
      <c r="G26" s="55">
        <v>531.73</v>
      </c>
      <c r="H26" s="17">
        <v>53</v>
      </c>
      <c r="I26" s="17">
        <f t="shared" si="3"/>
        <v>-46.730000000000018</v>
      </c>
      <c r="J26" s="6"/>
      <c r="K26" s="6">
        <v>0</v>
      </c>
      <c r="L26" s="6"/>
      <c r="M26" s="6"/>
      <c r="N26" s="17">
        <v>9.5489999999999995</v>
      </c>
      <c r="O26" s="11">
        <f>N26*O4</f>
        <v>202.05683999999999</v>
      </c>
      <c r="P26" s="11">
        <f>N26*P4</f>
        <v>277.11197999999996</v>
      </c>
      <c r="Q26" s="50">
        <f t="shared" si="2"/>
        <v>9.5489999999999995</v>
      </c>
      <c r="R26" s="7"/>
      <c r="S26" s="36">
        <f>-(Q26*O4)</f>
        <v>-202.05683999999999</v>
      </c>
      <c r="T26" s="36">
        <f>-(Q26*P4)</f>
        <v>-277.11197999999996</v>
      </c>
    </row>
    <row r="27" spans="1:20" hidden="1" x14ac:dyDescent="0.25">
      <c r="B27" s="1"/>
      <c r="C27" s="1"/>
      <c r="F27" s="54"/>
      <c r="G27" s="54"/>
      <c r="O27" s="39">
        <f>SUM(O15:O26)</f>
        <v>2424.68208</v>
      </c>
      <c r="P27" s="39">
        <f>SUM(P15:P26)</f>
        <v>3325.3437600000002</v>
      </c>
      <c r="Q27" s="41"/>
      <c r="R27" s="41"/>
      <c r="S27" s="39">
        <f>SUM(S15:S26)</f>
        <v>-2424.68208</v>
      </c>
      <c r="T27" s="39">
        <f>SUM(T15:T26)</f>
        <v>-3325.3437600000002</v>
      </c>
    </row>
    <row r="28" spans="1:20" hidden="1" x14ac:dyDescent="0.25">
      <c r="B28" s="1"/>
      <c r="C28" s="1"/>
      <c r="F28" s="54"/>
      <c r="G28" s="54"/>
      <c r="O28" s="41"/>
      <c r="P28" s="41"/>
      <c r="Q28" s="41"/>
      <c r="R28" s="41" t="s">
        <v>41</v>
      </c>
      <c r="T28" s="41"/>
    </row>
    <row r="29" spans="1:20" hidden="1" x14ac:dyDescent="0.25">
      <c r="B29" s="1"/>
      <c r="C29" s="1"/>
      <c r="F29" s="54"/>
      <c r="G29" s="54"/>
      <c r="O29" s="41"/>
      <c r="P29" s="41"/>
      <c r="Q29" s="41"/>
      <c r="R29" s="41"/>
      <c r="S29" s="41"/>
      <c r="T29" s="42">
        <f>S27+T27</f>
        <v>-5750.0258400000002</v>
      </c>
    </row>
    <row r="30" spans="1:20" hidden="1" x14ac:dyDescent="0.25">
      <c r="F30" s="54"/>
      <c r="G30" s="54"/>
    </row>
    <row r="31" spans="1:20" hidden="1" x14ac:dyDescent="0.25">
      <c r="F31" s="54"/>
      <c r="G31" s="54"/>
    </row>
    <row r="32" spans="1:20" hidden="1" x14ac:dyDescent="0.25">
      <c r="F32" s="54"/>
      <c r="G32" s="54"/>
      <c r="T32" s="51"/>
    </row>
    <row r="33" spans="1:20" x14ac:dyDescent="0.25">
      <c r="A33" s="5">
        <v>45292</v>
      </c>
      <c r="B33" s="6">
        <v>2774.9</v>
      </c>
      <c r="C33" s="6">
        <v>298.39999999999998</v>
      </c>
      <c r="D33" s="21" t="s">
        <v>27</v>
      </c>
      <c r="E33" s="6" t="s">
        <v>21</v>
      </c>
      <c r="F33" s="55">
        <v>595</v>
      </c>
      <c r="G33" s="55">
        <v>518.38300000000004</v>
      </c>
      <c r="H33" s="17">
        <v>67</v>
      </c>
      <c r="I33" s="17">
        <f>F33-(G33+H33)</f>
        <v>9.6169999999999618</v>
      </c>
      <c r="J33" s="6"/>
      <c r="K33" s="6">
        <v>0</v>
      </c>
      <c r="L33" s="6"/>
      <c r="M33" s="6"/>
      <c r="N33" s="17">
        <v>9.5489999999999995</v>
      </c>
      <c r="O33" s="11">
        <f>N33*Q3</f>
        <v>202.05683999999999</v>
      </c>
      <c r="P33" s="11">
        <f>N33*R3</f>
        <v>277.11197999999996</v>
      </c>
      <c r="Q33" s="50"/>
      <c r="R33" s="50"/>
      <c r="S33" s="36">
        <f>-(N33*Q3)</f>
        <v>-202.05683999999999</v>
      </c>
      <c r="T33" s="36">
        <f>-(N33*R3)</f>
        <v>-277.11197999999996</v>
      </c>
    </row>
    <row r="34" spans="1:20" x14ac:dyDescent="0.25">
      <c r="A34" s="5">
        <v>45323</v>
      </c>
      <c r="B34" s="6">
        <v>2774.9</v>
      </c>
      <c r="C34" s="6">
        <v>298.39999999999998</v>
      </c>
      <c r="D34" s="21" t="s">
        <v>54</v>
      </c>
      <c r="E34" s="6" t="s">
        <v>21</v>
      </c>
      <c r="F34" s="55">
        <v>525</v>
      </c>
      <c r="G34" s="55">
        <v>509.51400000000001</v>
      </c>
      <c r="H34" s="17">
        <v>34</v>
      </c>
      <c r="I34" s="17">
        <f t="shared" ref="I34" si="4">F34-(G34+H34)</f>
        <v>-18.51400000000001</v>
      </c>
      <c r="J34" s="6"/>
      <c r="K34" s="6">
        <v>0</v>
      </c>
      <c r="L34" s="6"/>
      <c r="M34" s="6"/>
      <c r="N34" s="17">
        <v>9.5489999999999995</v>
      </c>
      <c r="O34" s="11">
        <f>N34*Q3</f>
        <v>202.05683999999999</v>
      </c>
      <c r="P34" s="11">
        <f>N34*R3</f>
        <v>277.11197999999996</v>
      </c>
      <c r="Q34" s="50"/>
      <c r="R34" s="22"/>
      <c r="S34" s="36">
        <f>-(N34*Q3)</f>
        <v>-202.05683999999999</v>
      </c>
      <c r="T34" s="36">
        <f>-(N34*R3)</f>
        <v>-277.11197999999996</v>
      </c>
    </row>
    <row r="35" spans="1:20" x14ac:dyDescent="0.25">
      <c r="A35" s="5">
        <v>45352</v>
      </c>
      <c r="B35" s="6">
        <v>2774.9</v>
      </c>
      <c r="C35" s="6">
        <v>298.39999999999998</v>
      </c>
      <c r="D35" s="21" t="s">
        <v>55</v>
      </c>
      <c r="E35" s="6" t="s">
        <v>21</v>
      </c>
      <c r="F35" s="55">
        <v>556</v>
      </c>
      <c r="G35" s="55">
        <v>530.96100000000001</v>
      </c>
      <c r="H35" s="17">
        <v>19</v>
      </c>
      <c r="I35" s="17">
        <f t="shared" ref="I35:I44" si="5">F35-(G35+H35)</f>
        <v>6.0389999999999873</v>
      </c>
      <c r="J35" s="6"/>
      <c r="K35" s="6">
        <v>0</v>
      </c>
      <c r="L35" s="6"/>
      <c r="M35" s="6"/>
      <c r="N35" s="17">
        <v>9.5489999999999995</v>
      </c>
      <c r="O35" s="11">
        <f>N35*Q3</f>
        <v>202.05683999999999</v>
      </c>
      <c r="P35" s="11">
        <f>N35*R3</f>
        <v>277.11197999999996</v>
      </c>
      <c r="Q35" s="50"/>
      <c r="R35" s="7"/>
      <c r="S35" s="36">
        <f>-(N35*Q3)</f>
        <v>-202.05683999999999</v>
      </c>
      <c r="T35" s="36">
        <f>-(N35*R3)</f>
        <v>-277.11197999999996</v>
      </c>
    </row>
    <row r="36" spans="1:20" x14ac:dyDescent="0.25">
      <c r="A36" s="5">
        <v>45383</v>
      </c>
      <c r="B36" s="6">
        <v>2774.9</v>
      </c>
      <c r="C36" s="6">
        <v>298.39999999999998</v>
      </c>
      <c r="D36" s="21" t="s">
        <v>56</v>
      </c>
      <c r="E36" s="6" t="s">
        <v>21</v>
      </c>
      <c r="F36" s="55">
        <v>554</v>
      </c>
      <c r="G36" s="55">
        <v>821.19399999999996</v>
      </c>
      <c r="H36" s="17">
        <v>29</v>
      </c>
      <c r="I36" s="17">
        <f t="shared" si="5"/>
        <v>-296.19399999999996</v>
      </c>
      <c r="J36" s="6"/>
      <c r="K36" s="6">
        <v>0</v>
      </c>
      <c r="L36" s="6"/>
      <c r="M36" s="6"/>
      <c r="N36" s="17">
        <v>9.5489999999999995</v>
      </c>
      <c r="O36" s="11">
        <f>N36*Q3</f>
        <v>202.05683999999999</v>
      </c>
      <c r="P36" s="11">
        <f>N36*R3</f>
        <v>277.11197999999996</v>
      </c>
      <c r="Q36" s="50"/>
      <c r="R36" s="7"/>
      <c r="S36" s="36">
        <f>-(N36*Q3)</f>
        <v>-202.05683999999999</v>
      </c>
      <c r="T36" s="36">
        <f>-(N36*R3)</f>
        <v>-277.11197999999996</v>
      </c>
    </row>
    <row r="37" spans="1:20" x14ac:dyDescent="0.25">
      <c r="A37" s="5">
        <v>45413</v>
      </c>
      <c r="B37" s="6">
        <v>2774.9</v>
      </c>
      <c r="C37" s="6">
        <v>298.39999999999998</v>
      </c>
      <c r="D37" s="21" t="s">
        <v>57</v>
      </c>
      <c r="E37" s="6" t="s">
        <v>21</v>
      </c>
      <c r="F37" s="55">
        <v>511</v>
      </c>
      <c r="G37" s="55">
        <v>535.53499999999997</v>
      </c>
      <c r="H37" s="17">
        <v>0</v>
      </c>
      <c r="I37" s="17">
        <f t="shared" si="5"/>
        <v>-24.534999999999968</v>
      </c>
      <c r="J37" s="6"/>
      <c r="K37" s="6">
        <v>0</v>
      </c>
      <c r="L37" s="6"/>
      <c r="M37" s="6"/>
      <c r="N37" s="17">
        <v>9.5489999999999995</v>
      </c>
      <c r="O37" s="11">
        <f>N37*Q3</f>
        <v>202.05683999999999</v>
      </c>
      <c r="P37" s="11">
        <f>N37*R3</f>
        <v>277.11197999999996</v>
      </c>
      <c r="Q37" s="50"/>
      <c r="R37" s="7"/>
      <c r="S37" s="36">
        <f>-(N37*Q3)</f>
        <v>-202.05683999999999</v>
      </c>
      <c r="T37" s="36">
        <f>-(N37*R3)</f>
        <v>-277.11197999999996</v>
      </c>
    </row>
    <row r="38" spans="1:20" x14ac:dyDescent="0.25">
      <c r="A38" s="5">
        <v>45444</v>
      </c>
      <c r="B38" s="6">
        <v>2774.9</v>
      </c>
      <c r="C38" s="6">
        <v>298.39999999999998</v>
      </c>
      <c r="D38" s="21" t="s">
        <v>58</v>
      </c>
      <c r="E38" s="6" t="s">
        <v>21</v>
      </c>
      <c r="F38" s="55">
        <v>464</v>
      </c>
      <c r="G38" s="55">
        <v>503.07299999999998</v>
      </c>
      <c r="H38" s="17">
        <v>58</v>
      </c>
      <c r="I38" s="17">
        <f t="shared" si="5"/>
        <v>-97.072999999999979</v>
      </c>
      <c r="J38" s="6"/>
      <c r="K38" s="6">
        <v>0</v>
      </c>
      <c r="L38" s="6"/>
      <c r="M38" s="6"/>
      <c r="N38" s="17">
        <v>9.5489999999999995</v>
      </c>
      <c r="O38" s="11">
        <f>N38*Q3</f>
        <v>202.05683999999999</v>
      </c>
      <c r="P38" s="11">
        <f>N38*R3</f>
        <v>277.11197999999996</v>
      </c>
      <c r="Q38" s="50"/>
      <c r="R38" s="7"/>
      <c r="S38" s="36">
        <f>-(N38*Q3)</f>
        <v>-202.05683999999999</v>
      </c>
      <c r="T38" s="36">
        <f>-(N38*R3)</f>
        <v>-277.11197999999996</v>
      </c>
    </row>
    <row r="39" spans="1:20" x14ac:dyDescent="0.25">
      <c r="A39" s="5">
        <v>45474</v>
      </c>
      <c r="B39" s="6">
        <v>2774.9</v>
      </c>
      <c r="C39" s="6">
        <v>298.39999999999998</v>
      </c>
      <c r="D39" s="21" t="s">
        <v>59</v>
      </c>
      <c r="E39" s="6" t="s">
        <v>21</v>
      </c>
      <c r="F39" s="55">
        <v>573</v>
      </c>
      <c r="G39" s="55">
        <v>523.18499999999995</v>
      </c>
      <c r="H39" s="17">
        <v>28</v>
      </c>
      <c r="I39" s="17">
        <f t="shared" si="5"/>
        <v>21.815000000000055</v>
      </c>
      <c r="J39" s="6"/>
      <c r="K39" s="6">
        <v>0</v>
      </c>
      <c r="L39" s="6"/>
      <c r="M39" s="6"/>
      <c r="N39" s="17">
        <v>9.5489999999999995</v>
      </c>
      <c r="O39" s="11">
        <f>N39*Q4</f>
        <v>224.01954000000001</v>
      </c>
      <c r="P39" s="11">
        <f>N39*R4</f>
        <v>296.11448999999999</v>
      </c>
      <c r="Q39" s="50"/>
      <c r="R39" s="7"/>
      <c r="S39" s="36">
        <f>-(N39*Q4)</f>
        <v>-224.01954000000001</v>
      </c>
      <c r="T39" s="36">
        <f>-(N39*R4)</f>
        <v>-296.11448999999999</v>
      </c>
    </row>
    <row r="40" spans="1:20" x14ac:dyDescent="0.25">
      <c r="A40" s="5">
        <v>45505</v>
      </c>
      <c r="B40" s="6">
        <v>2774.9</v>
      </c>
      <c r="C40" s="6">
        <v>298.39999999999998</v>
      </c>
      <c r="D40" s="21" t="s">
        <v>60</v>
      </c>
      <c r="E40" s="6" t="s">
        <v>21</v>
      </c>
      <c r="F40" s="55">
        <v>538</v>
      </c>
      <c r="G40" s="55">
        <v>512.43700000000001</v>
      </c>
      <c r="H40" s="17">
        <v>32</v>
      </c>
      <c r="I40" s="17">
        <f t="shared" si="5"/>
        <v>-6.4370000000000118</v>
      </c>
      <c r="J40" s="6"/>
      <c r="K40" s="6">
        <v>0</v>
      </c>
      <c r="L40" s="6"/>
      <c r="M40" s="6"/>
      <c r="N40" s="17">
        <v>9.5489999999999995</v>
      </c>
      <c r="O40" s="11">
        <f>N40*Q4</f>
        <v>224.01954000000001</v>
      </c>
      <c r="P40" s="11">
        <f>N40*R4</f>
        <v>296.11448999999999</v>
      </c>
      <c r="Q40" s="50"/>
      <c r="R40" s="7"/>
      <c r="S40" s="36">
        <f>-(N40*Q4)</f>
        <v>-224.01954000000001</v>
      </c>
      <c r="T40" s="36">
        <f>-(N40*R4)</f>
        <v>-296.11448999999999</v>
      </c>
    </row>
    <row r="41" spans="1:20" x14ac:dyDescent="0.25">
      <c r="A41" s="5">
        <v>45536</v>
      </c>
      <c r="B41" s="6">
        <v>2774.9</v>
      </c>
      <c r="C41" s="6">
        <v>298.39999999999998</v>
      </c>
      <c r="D41" s="21" t="s">
        <v>61</v>
      </c>
      <c r="E41" s="6" t="s">
        <v>21</v>
      </c>
      <c r="F41" s="55">
        <v>488</v>
      </c>
      <c r="G41" s="55">
        <v>520.92200000000003</v>
      </c>
      <c r="H41" s="17">
        <v>32</v>
      </c>
      <c r="I41" s="17">
        <f t="shared" si="5"/>
        <v>-64.922000000000025</v>
      </c>
      <c r="J41" s="6"/>
      <c r="K41" s="6">
        <v>0</v>
      </c>
      <c r="L41" s="6"/>
      <c r="M41" s="6"/>
      <c r="N41" s="17">
        <v>9.5489999999999995</v>
      </c>
      <c r="O41" s="11">
        <f>N41*Q4</f>
        <v>224.01954000000001</v>
      </c>
      <c r="P41" s="11">
        <f>N41*R4</f>
        <v>296.11448999999999</v>
      </c>
      <c r="Q41" s="50"/>
      <c r="R41" s="7"/>
      <c r="S41" s="36">
        <f>-(N41*Q4)</f>
        <v>-224.01954000000001</v>
      </c>
      <c r="T41" s="36">
        <f>-(N41*R4)</f>
        <v>-296.11448999999999</v>
      </c>
    </row>
    <row r="42" spans="1:20" x14ac:dyDescent="0.25">
      <c r="A42" s="5">
        <v>45566</v>
      </c>
      <c r="B42" s="6">
        <v>2774.9</v>
      </c>
      <c r="C42" s="6">
        <v>298.39999999999998</v>
      </c>
      <c r="D42" s="21" t="s">
        <v>62</v>
      </c>
      <c r="E42" s="6" t="s">
        <v>21</v>
      </c>
      <c r="F42" s="55">
        <v>501</v>
      </c>
      <c r="G42" s="55">
        <v>515.11</v>
      </c>
      <c r="H42" s="17">
        <v>26</v>
      </c>
      <c r="I42" s="17">
        <f t="shared" si="5"/>
        <v>-40.110000000000014</v>
      </c>
      <c r="J42" s="6"/>
      <c r="K42" s="6">
        <v>0</v>
      </c>
      <c r="L42" s="6"/>
      <c r="M42" s="6"/>
      <c r="N42" s="17">
        <v>9.5489999999999995</v>
      </c>
      <c r="O42" s="11">
        <f>N42*Q4</f>
        <v>224.01954000000001</v>
      </c>
      <c r="P42" s="11">
        <f>N42*R4</f>
        <v>296.11448999999999</v>
      </c>
      <c r="Q42" s="50"/>
      <c r="R42" s="7"/>
      <c r="S42" s="36">
        <f>-(N42*Q4)</f>
        <v>-224.01954000000001</v>
      </c>
      <c r="T42" s="36">
        <f>-(N42*R4)</f>
        <v>-296.11448999999999</v>
      </c>
    </row>
    <row r="43" spans="1:20" x14ac:dyDescent="0.25">
      <c r="A43" s="5">
        <v>45597</v>
      </c>
      <c r="B43" s="6">
        <v>2774.9</v>
      </c>
      <c r="C43" s="6">
        <v>298.39999999999998</v>
      </c>
      <c r="D43" s="21" t="s">
        <v>63</v>
      </c>
      <c r="E43" s="6" t="s">
        <v>21</v>
      </c>
      <c r="F43" s="55">
        <v>534</v>
      </c>
      <c r="G43" s="55">
        <v>528.726</v>
      </c>
      <c r="H43" s="17">
        <v>21</v>
      </c>
      <c r="I43" s="17">
        <f t="shared" si="5"/>
        <v>-15.725999999999999</v>
      </c>
      <c r="J43" s="6"/>
      <c r="K43" s="6">
        <v>0</v>
      </c>
      <c r="L43" s="6"/>
      <c r="M43" s="6"/>
      <c r="N43" s="17">
        <v>9.5489999999999995</v>
      </c>
      <c r="O43" s="11">
        <f>N43*Q4</f>
        <v>224.01954000000001</v>
      </c>
      <c r="P43" s="11">
        <f>N43*R4</f>
        <v>296.11448999999999</v>
      </c>
      <c r="Q43" s="50"/>
      <c r="R43" s="7"/>
      <c r="S43" s="36">
        <f>-(N43*Q4)</f>
        <v>-224.01954000000001</v>
      </c>
      <c r="T43" s="36">
        <f>-(N43*R4)</f>
        <v>-296.11448999999999</v>
      </c>
    </row>
    <row r="44" spans="1:20" x14ac:dyDescent="0.25">
      <c r="A44" s="5">
        <v>45627</v>
      </c>
      <c r="B44" s="6">
        <v>2774.9</v>
      </c>
      <c r="C44" s="6">
        <v>298.39999999999998</v>
      </c>
      <c r="D44" s="21" t="s">
        <v>64</v>
      </c>
      <c r="E44" s="6" t="s">
        <v>21</v>
      </c>
      <c r="F44" s="55">
        <v>537</v>
      </c>
      <c r="G44" s="55">
        <v>537.59100000000001</v>
      </c>
      <c r="H44" s="17">
        <v>0</v>
      </c>
      <c r="I44" s="17">
        <f t="shared" si="5"/>
        <v>-0.59100000000000819</v>
      </c>
      <c r="J44" s="6"/>
      <c r="K44" s="6">
        <v>0</v>
      </c>
      <c r="L44" s="6"/>
      <c r="M44" s="6"/>
      <c r="N44" s="17">
        <v>9.5489999999999995</v>
      </c>
      <c r="O44" s="11">
        <f>N44*Q4</f>
        <v>224.01954000000001</v>
      </c>
      <c r="P44" s="11">
        <f>N44*R4</f>
        <v>296.11448999999999</v>
      </c>
      <c r="Q44" s="50"/>
      <c r="R44" s="7"/>
      <c r="S44" s="36">
        <f>-(N44*Q4)</f>
        <v>-224.01954000000001</v>
      </c>
      <c r="T44" s="36">
        <f>-(N44*R4)</f>
        <v>-296.11448999999999</v>
      </c>
    </row>
    <row r="45" spans="1:20" x14ac:dyDescent="0.25">
      <c r="B45" s="1"/>
      <c r="C45" s="1"/>
      <c r="N45" s="62">
        <f>SUM(N33:N44)</f>
        <v>114.58800000000002</v>
      </c>
      <c r="O45" s="39">
        <f>SUM(O33:O44)</f>
        <v>2556.4582800000007</v>
      </c>
      <c r="P45" s="39">
        <f>SUM(P33:P44)</f>
        <v>3439.3588199999995</v>
      </c>
      <c r="Q45" s="41"/>
      <c r="R45" s="41"/>
      <c r="S45" s="39">
        <f>SUM(S33:S44)</f>
        <v>-2556.4582800000007</v>
      </c>
      <c r="T45" s="39">
        <f>SUM(T33:T44)</f>
        <v>-3439.3588199999995</v>
      </c>
    </row>
    <row r="46" spans="1:20" x14ac:dyDescent="0.25">
      <c r="B46" s="1"/>
      <c r="C46" s="1"/>
      <c r="N46">
        <f>N45/2</f>
        <v>57.294000000000011</v>
      </c>
      <c r="O46" s="41"/>
      <c r="P46" s="41"/>
      <c r="Q46" s="41"/>
      <c r="R46" s="41" t="s">
        <v>41</v>
      </c>
      <c r="T46" s="41"/>
    </row>
    <row r="47" spans="1:20" x14ac:dyDescent="0.25">
      <c r="B47" s="1"/>
      <c r="C47" s="1"/>
      <c r="N47">
        <f>N45/2</f>
        <v>57.294000000000011</v>
      </c>
      <c r="O47" s="41"/>
      <c r="P47" s="41"/>
      <c r="Q47" s="41"/>
      <c r="R47" s="41"/>
      <c r="S47" s="41"/>
      <c r="T47" s="42">
        <f>S45+T45</f>
        <v>-5995.8171000000002</v>
      </c>
    </row>
  </sheetData>
  <sheetProtection algorithmName="SHA-512" hashValue="/cGNg+I7q30rLD+Z1z9d5XirRrWcVnJpscQ8tBC6zv1U6t+wZnH79oYHb37ShN+jXHv4ng5TqijVnkqh//lneQ==" saltValue="vtuM9I3qeaiqkiX+gMRB+w==" spinCount="100000" sheet="1" formatRows="0" insertColumns="0" insertRows="0" insertHyperlinks="0" deleteColumns="0" deleteRows="0" selectLockedCells="1" sort="0" autoFilter="0" pivotTables="0" selectUnlockedCells="1"/>
  <mergeCells count="23">
    <mergeCell ref="A1:Q1"/>
    <mergeCell ref="G5:G6"/>
    <mergeCell ref="A3:D3"/>
    <mergeCell ref="A5:A6"/>
    <mergeCell ref="D5:D6"/>
    <mergeCell ref="E5:E6"/>
    <mergeCell ref="F5:F6"/>
    <mergeCell ref="C5:C6"/>
    <mergeCell ref="Q5:R5"/>
    <mergeCell ref="N5:N6"/>
    <mergeCell ref="I5:I6"/>
    <mergeCell ref="B5:B6"/>
    <mergeCell ref="L5:L6"/>
    <mergeCell ref="T5:T6"/>
    <mergeCell ref="P5:P6"/>
    <mergeCell ref="H5:H6"/>
    <mergeCell ref="H3:M3"/>
    <mergeCell ref="H4:M4"/>
    <mergeCell ref="J8:K8"/>
    <mergeCell ref="M5:M6"/>
    <mergeCell ref="O5:O6"/>
    <mergeCell ref="J5:K5"/>
    <mergeCell ref="S5:S6"/>
  </mergeCells>
  <phoneticPr fontId="4" type="noConversion"/>
  <pageMargins left="0.25" right="0.25" top="0.75" bottom="0.75" header="0.3" footer="0.3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70" zoomScaleNormal="70" workbookViewId="0">
      <selection activeCell="N11" sqref="N11"/>
    </sheetView>
  </sheetViews>
  <sheetFormatPr defaultRowHeight="15" x14ac:dyDescent="0.25"/>
  <cols>
    <col min="1" max="1" width="9.5703125" style="2" customWidth="1"/>
    <col min="2" max="2" width="17" customWidth="1"/>
    <col min="3" max="3" width="14" customWidth="1"/>
    <col min="4" max="4" width="18.5703125" customWidth="1"/>
    <col min="5" max="5" width="13.28515625" customWidth="1"/>
    <col min="6" max="6" width="21.7109375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17.5703125" customWidth="1"/>
    <col min="14" max="14" width="19.7109375" customWidth="1"/>
    <col min="15" max="15" width="17" customWidth="1"/>
    <col min="16" max="16" width="20.7109375" customWidth="1"/>
    <col min="17" max="17" width="21.7109375" customWidth="1"/>
    <col min="18" max="19" width="14.140625" customWidth="1"/>
    <col min="20" max="20" width="16.425781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0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0" x14ac:dyDescent="0.25">
      <c r="A2" s="27"/>
      <c r="B2" s="27"/>
      <c r="C2" s="27"/>
      <c r="D2" s="27"/>
      <c r="E2" s="27"/>
      <c r="F2" s="27"/>
      <c r="G2" s="27"/>
      <c r="H2" s="28"/>
      <c r="I2" s="28"/>
      <c r="J2" s="28"/>
      <c r="K2" s="28"/>
      <c r="L2" s="28"/>
      <c r="M2" s="28"/>
      <c r="N2" s="28"/>
      <c r="O2" s="29" t="s">
        <v>21</v>
      </c>
      <c r="P2" s="29" t="s">
        <v>33</v>
      </c>
      <c r="Q2" s="60" t="s">
        <v>21</v>
      </c>
      <c r="R2" s="60" t="s">
        <v>33</v>
      </c>
    </row>
    <row r="3" spans="1:20" ht="18.75" x14ac:dyDescent="0.25">
      <c r="A3" s="76" t="s">
        <v>12</v>
      </c>
      <c r="B3" s="76"/>
      <c r="C3" s="76"/>
      <c r="D3" s="76"/>
      <c r="H3" s="83" t="s">
        <v>32</v>
      </c>
      <c r="I3" s="83"/>
      <c r="J3" s="83"/>
      <c r="K3" s="83"/>
      <c r="L3" s="83"/>
      <c r="M3" s="84"/>
      <c r="N3" s="30" t="s">
        <v>13</v>
      </c>
      <c r="O3" s="31">
        <v>17.64</v>
      </c>
      <c r="P3" s="30">
        <v>26.93</v>
      </c>
      <c r="Q3" s="61">
        <v>21.16</v>
      </c>
      <c r="R3" s="57">
        <v>29.02</v>
      </c>
    </row>
    <row r="4" spans="1:20" x14ac:dyDescent="0.25">
      <c r="H4" s="85" t="s">
        <v>34</v>
      </c>
      <c r="I4" s="85"/>
      <c r="J4" s="85"/>
      <c r="K4" s="85"/>
      <c r="L4" s="85"/>
      <c r="M4" s="86"/>
      <c r="N4" s="30" t="s">
        <v>35</v>
      </c>
      <c r="O4" s="30">
        <v>21.16</v>
      </c>
      <c r="P4" s="30">
        <v>29.02</v>
      </c>
      <c r="Q4" s="57">
        <v>23.46</v>
      </c>
      <c r="R4" s="57">
        <v>31.01</v>
      </c>
    </row>
    <row r="5" spans="1:20" ht="83.25" customHeight="1" x14ac:dyDescent="0.25">
      <c r="A5" s="78" t="s">
        <v>3</v>
      </c>
      <c r="B5" s="78" t="s">
        <v>2</v>
      </c>
      <c r="C5" s="79" t="s">
        <v>10</v>
      </c>
      <c r="D5" s="78" t="s">
        <v>11</v>
      </c>
      <c r="E5" s="78" t="s">
        <v>0</v>
      </c>
      <c r="F5" s="78" t="s">
        <v>6</v>
      </c>
      <c r="G5" s="78" t="s">
        <v>7</v>
      </c>
      <c r="H5" s="78" t="s">
        <v>8</v>
      </c>
      <c r="I5" s="78" t="s">
        <v>9</v>
      </c>
      <c r="J5" s="78" t="s">
        <v>22</v>
      </c>
      <c r="K5" s="78"/>
      <c r="L5" s="78" t="s">
        <v>24</v>
      </c>
      <c r="M5" s="78" t="s">
        <v>25</v>
      </c>
      <c r="N5" s="79" t="s">
        <v>44</v>
      </c>
      <c r="O5" s="78" t="s">
        <v>26</v>
      </c>
      <c r="P5" s="78" t="s">
        <v>43</v>
      </c>
      <c r="Q5" s="78" t="s">
        <v>4</v>
      </c>
      <c r="R5" s="78"/>
      <c r="S5" s="78" t="s">
        <v>53</v>
      </c>
      <c r="T5" s="78" t="s">
        <v>52</v>
      </c>
    </row>
    <row r="6" spans="1:20" ht="92.25" customHeight="1" x14ac:dyDescent="0.25">
      <c r="A6" s="78"/>
      <c r="B6" s="78"/>
      <c r="C6" s="80"/>
      <c r="D6" s="78"/>
      <c r="E6" s="78"/>
      <c r="F6" s="78"/>
      <c r="G6" s="78"/>
      <c r="H6" s="78"/>
      <c r="I6" s="78"/>
      <c r="J6" s="3" t="s">
        <v>1</v>
      </c>
      <c r="K6" s="3" t="s">
        <v>23</v>
      </c>
      <c r="L6" s="78"/>
      <c r="M6" s="78"/>
      <c r="N6" s="80"/>
      <c r="O6" s="78"/>
      <c r="P6" s="78"/>
      <c r="Q6" s="3" t="s">
        <v>38</v>
      </c>
      <c r="R6" s="3" t="s">
        <v>39</v>
      </c>
      <c r="S6" s="78"/>
      <c r="T6" s="78"/>
    </row>
    <row r="7" spans="1:20" x14ac:dyDescent="0.25">
      <c r="A7" s="4">
        <v>1</v>
      </c>
      <c r="B7" s="4">
        <v>2</v>
      </c>
      <c r="C7" s="4">
        <v>3</v>
      </c>
      <c r="D7" s="10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</row>
    <row r="8" spans="1:20" hidden="1" x14ac:dyDescent="0.25">
      <c r="A8" s="5">
        <v>44805</v>
      </c>
      <c r="B8" s="8">
        <v>2784.8</v>
      </c>
      <c r="C8" s="6">
        <v>301.60000000000002</v>
      </c>
      <c r="D8" s="21" t="s">
        <v>28</v>
      </c>
      <c r="E8" s="8" t="s">
        <v>21</v>
      </c>
      <c r="F8" s="16">
        <v>403</v>
      </c>
      <c r="G8" s="16">
        <v>477.62599999999998</v>
      </c>
      <c r="H8" s="16"/>
      <c r="I8" s="16">
        <f t="shared" ref="I8:I11" si="0">F8-(G8+H8)</f>
        <v>-74.625999999999976</v>
      </c>
      <c r="J8" s="8"/>
      <c r="K8" s="8">
        <v>0</v>
      </c>
      <c r="L8" s="15"/>
      <c r="M8" s="15"/>
      <c r="N8" s="16">
        <v>9.6509999999999998</v>
      </c>
      <c r="O8" s="9">
        <f>N8*O3</f>
        <v>170.24364</v>
      </c>
      <c r="P8" s="9">
        <f>N8*P3</f>
        <v>259.90143</v>
      </c>
      <c r="Q8" s="16">
        <f>N8</f>
        <v>9.6509999999999998</v>
      </c>
      <c r="R8" s="8"/>
      <c r="S8" s="36">
        <f>-(Q8*O3)</f>
        <v>-170.24364</v>
      </c>
      <c r="T8" s="36">
        <f>-(Q8*P3)</f>
        <v>-259.90143</v>
      </c>
    </row>
    <row r="9" spans="1:20" hidden="1" x14ac:dyDescent="0.25">
      <c r="A9" s="5">
        <v>44835</v>
      </c>
      <c r="B9" s="8">
        <v>2784.8</v>
      </c>
      <c r="C9" s="6">
        <v>301.60000000000002</v>
      </c>
      <c r="D9" s="21" t="s">
        <v>28</v>
      </c>
      <c r="E9" s="8" t="s">
        <v>21</v>
      </c>
      <c r="F9" s="16">
        <v>362</v>
      </c>
      <c r="G9" s="16">
        <v>638</v>
      </c>
      <c r="H9" s="16"/>
      <c r="I9" s="16">
        <f t="shared" si="0"/>
        <v>-276</v>
      </c>
      <c r="J9" s="8"/>
      <c r="K9" s="8">
        <v>0</v>
      </c>
      <c r="L9" s="8"/>
      <c r="M9" s="8"/>
      <c r="N9" s="16">
        <v>9.6509999999999998</v>
      </c>
      <c r="O9" s="9">
        <f>N9*O3</f>
        <v>170.24364</v>
      </c>
      <c r="P9" s="9">
        <f>N9*P3</f>
        <v>259.90143</v>
      </c>
      <c r="Q9" s="16">
        <f t="shared" ref="Q9:Q11" si="1">N9</f>
        <v>9.6509999999999998</v>
      </c>
      <c r="R9" s="8"/>
      <c r="S9" s="36">
        <f>-(Q9*O3)</f>
        <v>-170.24364</v>
      </c>
      <c r="T9" s="36">
        <f>-(Q9*P3)</f>
        <v>-259.90143</v>
      </c>
    </row>
    <row r="10" spans="1:20" hidden="1" x14ac:dyDescent="0.25">
      <c r="A10" s="5">
        <v>44866</v>
      </c>
      <c r="B10" s="8">
        <v>2784.8</v>
      </c>
      <c r="C10" s="6">
        <v>301.60000000000002</v>
      </c>
      <c r="D10" s="21" t="s">
        <v>28</v>
      </c>
      <c r="E10" s="6" t="s">
        <v>21</v>
      </c>
      <c r="F10" s="17">
        <v>404</v>
      </c>
      <c r="G10" s="17">
        <v>411.14299999999997</v>
      </c>
      <c r="H10" s="17"/>
      <c r="I10" s="16">
        <f t="shared" si="0"/>
        <v>-7.1429999999999723</v>
      </c>
      <c r="J10" s="6"/>
      <c r="K10" s="6">
        <v>0</v>
      </c>
      <c r="L10" s="6"/>
      <c r="M10" s="6"/>
      <c r="N10" s="16">
        <v>9.6509999999999998</v>
      </c>
      <c r="O10" s="9">
        <f>N10*O3</f>
        <v>170.24364</v>
      </c>
      <c r="P10" s="9">
        <f>N10*P3</f>
        <v>259.90143</v>
      </c>
      <c r="Q10" s="16">
        <f t="shared" si="1"/>
        <v>9.6509999999999998</v>
      </c>
      <c r="R10" s="6"/>
      <c r="S10" s="36">
        <f>-(Q10*O3)</f>
        <v>-170.24364</v>
      </c>
      <c r="T10" s="36">
        <f>-(Q10*P3)</f>
        <v>-259.90143</v>
      </c>
    </row>
    <row r="11" spans="1:20" hidden="1" x14ac:dyDescent="0.25">
      <c r="A11" s="5">
        <v>44896</v>
      </c>
      <c r="B11" s="6">
        <v>2784.8</v>
      </c>
      <c r="C11" s="6">
        <v>301.60000000000002</v>
      </c>
      <c r="D11" s="21" t="s">
        <v>28</v>
      </c>
      <c r="E11" s="6" t="s">
        <v>21</v>
      </c>
      <c r="F11" s="17">
        <v>390</v>
      </c>
      <c r="G11" s="17">
        <v>461.38299999999998</v>
      </c>
      <c r="H11" s="17"/>
      <c r="I11" s="17">
        <f t="shared" si="0"/>
        <v>-71.382999999999981</v>
      </c>
      <c r="J11" s="6"/>
      <c r="K11" s="6">
        <v>0</v>
      </c>
      <c r="L11" s="6"/>
      <c r="M11" s="6"/>
      <c r="N11" s="17">
        <v>9.6509999999999998</v>
      </c>
      <c r="O11" s="11">
        <f>N11*O4</f>
        <v>204.21516</v>
      </c>
      <c r="P11" s="11">
        <f>N11*P4</f>
        <v>280.07202000000001</v>
      </c>
      <c r="Q11" s="17">
        <f t="shared" si="1"/>
        <v>9.6509999999999998</v>
      </c>
      <c r="R11" s="6"/>
      <c r="S11" s="36">
        <f>-(Q11*O4)</f>
        <v>-204.21516</v>
      </c>
      <c r="T11" s="36">
        <f>-(Q11*P4)</f>
        <v>-280.07202000000001</v>
      </c>
    </row>
    <row r="12" spans="1:20" hidden="1" x14ac:dyDescent="0.25">
      <c r="B12" s="1"/>
      <c r="C12" s="1"/>
      <c r="N12" s="38" t="s">
        <v>46</v>
      </c>
      <c r="O12" s="39">
        <f>SUM(O8:O11)</f>
        <v>714.94607999999994</v>
      </c>
      <c r="P12" s="43">
        <f>SUM(P8:P11)</f>
        <v>1059.77631</v>
      </c>
      <c r="Q12" s="41"/>
      <c r="R12" s="41"/>
      <c r="S12" s="42">
        <f>SUM(S8:S11)</f>
        <v>-714.94607999999994</v>
      </c>
      <c r="T12" s="42">
        <f>SUM(T8:T11)</f>
        <v>-1059.77631</v>
      </c>
    </row>
    <row r="13" spans="1:20" hidden="1" x14ac:dyDescent="0.25">
      <c r="B13" s="1"/>
      <c r="C13" s="1"/>
      <c r="N13" s="41"/>
      <c r="O13" s="41"/>
      <c r="P13" s="41"/>
      <c r="Q13" s="41"/>
      <c r="R13" s="41" t="s">
        <v>41</v>
      </c>
      <c r="T13" s="41"/>
    </row>
    <row r="14" spans="1:20" hidden="1" x14ac:dyDescent="0.25">
      <c r="B14" s="1"/>
      <c r="C14" s="1"/>
      <c r="N14" s="41"/>
      <c r="O14" s="41"/>
      <c r="P14" s="41"/>
      <c r="Q14" s="41"/>
      <c r="R14" s="41"/>
      <c r="S14" s="41"/>
      <c r="T14" s="42">
        <f>T12+S12</f>
        <v>-1774.7223899999999</v>
      </c>
    </row>
    <row r="15" spans="1:20" hidden="1" x14ac:dyDescent="0.25">
      <c r="A15" s="5">
        <v>44927</v>
      </c>
      <c r="B15" s="6">
        <v>2784.8</v>
      </c>
      <c r="C15" s="6">
        <v>301.60000000000002</v>
      </c>
      <c r="D15" s="21" t="s">
        <v>28</v>
      </c>
      <c r="E15" s="6" t="s">
        <v>21</v>
      </c>
      <c r="F15" s="17">
        <v>433</v>
      </c>
      <c r="G15" s="17">
        <v>473.34300000000002</v>
      </c>
      <c r="H15" s="17"/>
      <c r="I15" s="17">
        <f>F15-(G15+H15)</f>
        <v>-40.343000000000018</v>
      </c>
      <c r="J15" s="6"/>
      <c r="K15" s="6">
        <v>0</v>
      </c>
      <c r="L15" s="6"/>
      <c r="M15" s="6"/>
      <c r="N15" s="17">
        <v>9.6509999999999998</v>
      </c>
      <c r="O15" s="11">
        <f>N15*O4</f>
        <v>204.21516</v>
      </c>
      <c r="P15" s="11">
        <f>N15*P4</f>
        <v>280.07202000000001</v>
      </c>
      <c r="Q15" s="50">
        <f t="shared" ref="Q15:Q26" si="2">N15</f>
        <v>9.6509999999999998</v>
      </c>
      <c r="R15" s="7"/>
      <c r="S15" s="36">
        <f>-(Q15*O4)</f>
        <v>-204.21516</v>
      </c>
      <c r="T15" s="36">
        <f>-(Q15*P4)</f>
        <v>-280.07202000000001</v>
      </c>
    </row>
    <row r="16" spans="1:20" hidden="1" x14ac:dyDescent="0.25">
      <c r="A16" s="5">
        <v>44958</v>
      </c>
      <c r="B16" s="6">
        <v>2784.8</v>
      </c>
      <c r="C16" s="6">
        <v>301.60000000000002</v>
      </c>
      <c r="D16" s="21" t="s">
        <v>65</v>
      </c>
      <c r="E16" s="6" t="s">
        <v>21</v>
      </c>
      <c r="F16" s="17">
        <v>367</v>
      </c>
      <c r="G16" s="17">
        <v>500.13</v>
      </c>
      <c r="H16" s="17"/>
      <c r="I16" s="17">
        <f t="shared" ref="I16:I26" si="3">F16-(G16+H16)</f>
        <v>-133.13</v>
      </c>
      <c r="J16" s="6"/>
      <c r="K16" s="6">
        <v>0</v>
      </c>
      <c r="L16" s="6"/>
      <c r="M16" s="6"/>
      <c r="N16" s="17">
        <v>9.6509999999999998</v>
      </c>
      <c r="O16" s="11">
        <f>N16*O4</f>
        <v>204.21516</v>
      </c>
      <c r="P16" s="11">
        <f>N16*P4</f>
        <v>280.07202000000001</v>
      </c>
      <c r="Q16" s="50">
        <f t="shared" si="2"/>
        <v>9.6509999999999998</v>
      </c>
      <c r="R16" s="7"/>
      <c r="S16" s="36">
        <f>-(Q16*O4)</f>
        <v>-204.21516</v>
      </c>
      <c r="T16" s="36">
        <f>-(Q16*P4)</f>
        <v>-280.07202000000001</v>
      </c>
    </row>
    <row r="17" spans="1:20" hidden="1" x14ac:dyDescent="0.25">
      <c r="A17" s="5">
        <v>44986</v>
      </c>
      <c r="B17" s="6">
        <v>2784.8</v>
      </c>
      <c r="C17" s="6">
        <v>301.60000000000002</v>
      </c>
      <c r="D17" s="21" t="s">
        <v>66</v>
      </c>
      <c r="E17" s="6" t="s">
        <v>21</v>
      </c>
      <c r="F17" s="17">
        <v>382</v>
      </c>
      <c r="G17" s="17">
        <v>385.23</v>
      </c>
      <c r="H17" s="17"/>
      <c r="I17" s="17">
        <f t="shared" si="3"/>
        <v>-3.2300000000000182</v>
      </c>
      <c r="J17" s="6"/>
      <c r="K17" s="6">
        <v>0</v>
      </c>
      <c r="L17" s="6"/>
      <c r="M17" s="6"/>
      <c r="N17" s="17">
        <v>9.6509999999999998</v>
      </c>
      <c r="O17" s="11">
        <f>N17*O4</f>
        <v>204.21516</v>
      </c>
      <c r="P17" s="11">
        <f>N17*P4</f>
        <v>280.07202000000001</v>
      </c>
      <c r="Q17" s="50">
        <f t="shared" si="2"/>
        <v>9.6509999999999998</v>
      </c>
      <c r="R17" s="7"/>
      <c r="S17" s="36">
        <f>-(Q17*O4)</f>
        <v>-204.21516</v>
      </c>
      <c r="T17" s="36">
        <f>-(Q17*P4)</f>
        <v>-280.07202000000001</v>
      </c>
    </row>
    <row r="18" spans="1:20" hidden="1" x14ac:dyDescent="0.25">
      <c r="A18" s="5">
        <v>45017</v>
      </c>
      <c r="B18" s="6">
        <v>2784.8</v>
      </c>
      <c r="C18" s="6">
        <v>301.60000000000002</v>
      </c>
      <c r="D18" s="21" t="s">
        <v>67</v>
      </c>
      <c r="E18" s="6" t="s">
        <v>21</v>
      </c>
      <c r="F18" s="17">
        <v>422</v>
      </c>
      <c r="G18" s="17">
        <v>493.00400000000002</v>
      </c>
      <c r="H18" s="17"/>
      <c r="I18" s="17">
        <f t="shared" si="3"/>
        <v>-71.004000000000019</v>
      </c>
      <c r="J18" s="6"/>
      <c r="K18" s="6">
        <v>0</v>
      </c>
      <c r="L18" s="6"/>
      <c r="M18" s="6"/>
      <c r="N18" s="17">
        <v>9.6509999999999998</v>
      </c>
      <c r="O18" s="11">
        <f>N18*O4</f>
        <v>204.21516</v>
      </c>
      <c r="P18" s="11">
        <f>N18*P4</f>
        <v>280.07202000000001</v>
      </c>
      <c r="Q18" s="50">
        <f t="shared" si="2"/>
        <v>9.6509999999999998</v>
      </c>
      <c r="R18" s="7"/>
      <c r="S18" s="36">
        <f>-(Q18*O4)</f>
        <v>-204.21516</v>
      </c>
      <c r="T18" s="36">
        <f>-(Q18*P4)</f>
        <v>-280.07202000000001</v>
      </c>
    </row>
    <row r="19" spans="1:20" hidden="1" x14ac:dyDescent="0.25">
      <c r="A19" s="5">
        <v>45047</v>
      </c>
      <c r="B19" s="6">
        <v>2784.8</v>
      </c>
      <c r="C19" s="6">
        <v>301.60000000000002</v>
      </c>
      <c r="D19" s="21" t="s">
        <v>68</v>
      </c>
      <c r="E19" s="6" t="s">
        <v>21</v>
      </c>
      <c r="F19" s="17">
        <v>340</v>
      </c>
      <c r="G19" s="17">
        <v>483.4</v>
      </c>
      <c r="H19" s="17"/>
      <c r="I19" s="17">
        <f t="shared" si="3"/>
        <v>-143.39999999999998</v>
      </c>
      <c r="J19" s="6"/>
      <c r="K19" s="6">
        <v>0</v>
      </c>
      <c r="L19" s="6"/>
      <c r="M19" s="6"/>
      <c r="N19" s="17">
        <v>9.6509999999999998</v>
      </c>
      <c r="O19" s="11">
        <f>N19*O4</f>
        <v>204.21516</v>
      </c>
      <c r="P19" s="11">
        <f>N19*P4</f>
        <v>280.07202000000001</v>
      </c>
      <c r="Q19" s="50">
        <f t="shared" si="2"/>
        <v>9.6509999999999998</v>
      </c>
      <c r="R19" s="7"/>
      <c r="S19" s="36">
        <f>-(Q19*O4)</f>
        <v>-204.21516</v>
      </c>
      <c r="T19" s="36">
        <f>-(Q19*P4)</f>
        <v>-280.07202000000001</v>
      </c>
    </row>
    <row r="20" spans="1:20" hidden="1" x14ac:dyDescent="0.25">
      <c r="A20" s="5">
        <v>45078</v>
      </c>
      <c r="B20" s="6">
        <v>2784.8</v>
      </c>
      <c r="C20" s="6">
        <v>301.60000000000002</v>
      </c>
      <c r="D20" s="21" t="s">
        <v>69</v>
      </c>
      <c r="E20" s="6" t="s">
        <v>21</v>
      </c>
      <c r="F20" s="17">
        <v>292</v>
      </c>
      <c r="G20" s="17">
        <v>465.24900000000002</v>
      </c>
      <c r="H20" s="17"/>
      <c r="I20" s="17">
        <f t="shared" si="3"/>
        <v>-173.24900000000002</v>
      </c>
      <c r="J20" s="6"/>
      <c r="K20" s="6">
        <v>0</v>
      </c>
      <c r="L20" s="6"/>
      <c r="M20" s="6"/>
      <c r="N20" s="17">
        <v>9.6509999999999998</v>
      </c>
      <c r="O20" s="11">
        <f>N20*O4</f>
        <v>204.21516</v>
      </c>
      <c r="P20" s="11">
        <f>N20*P4</f>
        <v>280.07202000000001</v>
      </c>
      <c r="Q20" s="50">
        <f t="shared" si="2"/>
        <v>9.6509999999999998</v>
      </c>
      <c r="R20" s="7"/>
      <c r="S20" s="36">
        <f>-(Q20*O4)</f>
        <v>-204.21516</v>
      </c>
      <c r="T20" s="36">
        <f>-(Q20*P4)</f>
        <v>-280.07202000000001</v>
      </c>
    </row>
    <row r="21" spans="1:20" hidden="1" x14ac:dyDescent="0.25">
      <c r="A21" s="5">
        <v>45108</v>
      </c>
      <c r="B21" s="6">
        <v>2784.8</v>
      </c>
      <c r="C21" s="6">
        <v>301.60000000000002</v>
      </c>
      <c r="D21" s="21" t="s">
        <v>70</v>
      </c>
      <c r="E21" s="6" t="s">
        <v>21</v>
      </c>
      <c r="F21" s="17">
        <v>447</v>
      </c>
      <c r="G21" s="17">
        <v>476.82</v>
      </c>
      <c r="H21" s="17"/>
      <c r="I21" s="17">
        <f t="shared" si="3"/>
        <v>-29.819999999999993</v>
      </c>
      <c r="J21" s="6"/>
      <c r="K21" s="6">
        <v>0</v>
      </c>
      <c r="L21" s="6"/>
      <c r="M21" s="6"/>
      <c r="N21" s="17">
        <v>9.6509999999999998</v>
      </c>
      <c r="O21" s="11">
        <f>N21*O4</f>
        <v>204.21516</v>
      </c>
      <c r="P21" s="11">
        <f>N21*P4</f>
        <v>280.07202000000001</v>
      </c>
      <c r="Q21" s="50">
        <f t="shared" si="2"/>
        <v>9.6509999999999998</v>
      </c>
      <c r="R21" s="7"/>
      <c r="S21" s="36">
        <f>-(Q21*O4)</f>
        <v>-204.21516</v>
      </c>
      <c r="T21" s="36">
        <f>-(Q21*P4)</f>
        <v>-280.07202000000001</v>
      </c>
    </row>
    <row r="22" spans="1:20" hidden="1" x14ac:dyDescent="0.25">
      <c r="A22" s="5">
        <v>45139</v>
      </c>
      <c r="B22" s="6">
        <v>2784.8</v>
      </c>
      <c r="C22" s="6">
        <v>301.60000000000002</v>
      </c>
      <c r="D22" s="21" t="s">
        <v>71</v>
      </c>
      <c r="E22" s="6" t="s">
        <v>21</v>
      </c>
      <c r="F22" s="17">
        <v>414</v>
      </c>
      <c r="G22" s="17">
        <v>460.75</v>
      </c>
      <c r="H22" s="17"/>
      <c r="I22" s="17">
        <f t="shared" si="3"/>
        <v>-46.75</v>
      </c>
      <c r="J22" s="6"/>
      <c r="K22" s="6">
        <v>0</v>
      </c>
      <c r="L22" s="6"/>
      <c r="M22" s="6"/>
      <c r="N22" s="17">
        <v>9.6509999999999998</v>
      </c>
      <c r="O22" s="11">
        <f>N22*O4</f>
        <v>204.21516</v>
      </c>
      <c r="P22" s="11">
        <f>N22*P4</f>
        <v>280.07202000000001</v>
      </c>
      <c r="Q22" s="50">
        <f t="shared" si="2"/>
        <v>9.6509999999999998</v>
      </c>
      <c r="R22" s="7"/>
      <c r="S22" s="36">
        <f>-(Q22*O4)</f>
        <v>-204.21516</v>
      </c>
      <c r="T22" s="36">
        <f>-(Q22*P4)</f>
        <v>-280.07202000000001</v>
      </c>
    </row>
    <row r="23" spans="1:20" hidden="1" x14ac:dyDescent="0.25">
      <c r="A23" s="5">
        <v>45170</v>
      </c>
      <c r="B23" s="6">
        <v>2784.8</v>
      </c>
      <c r="C23" s="6">
        <v>301.60000000000002</v>
      </c>
      <c r="D23" s="21" t="s">
        <v>72</v>
      </c>
      <c r="E23" s="6" t="s">
        <v>21</v>
      </c>
      <c r="F23" s="17">
        <v>357</v>
      </c>
      <c r="G23" s="17">
        <v>469.91</v>
      </c>
      <c r="H23" s="17"/>
      <c r="I23" s="17">
        <f t="shared" si="3"/>
        <v>-112.91000000000003</v>
      </c>
      <c r="J23" s="6"/>
      <c r="K23" s="6">
        <v>0</v>
      </c>
      <c r="L23" s="6"/>
      <c r="M23" s="6"/>
      <c r="N23" s="17">
        <v>9.6509999999999998</v>
      </c>
      <c r="O23" s="11">
        <f>N23*O4</f>
        <v>204.21516</v>
      </c>
      <c r="P23" s="11">
        <f>N23*P4</f>
        <v>280.07202000000001</v>
      </c>
      <c r="Q23" s="50">
        <f t="shared" si="2"/>
        <v>9.6509999999999998</v>
      </c>
      <c r="R23" s="7"/>
      <c r="S23" s="36">
        <f>-(Q23*O4)</f>
        <v>-204.21516</v>
      </c>
      <c r="T23" s="36">
        <f>-(Q23*P4)</f>
        <v>-280.07202000000001</v>
      </c>
    </row>
    <row r="24" spans="1:20" hidden="1" x14ac:dyDescent="0.25">
      <c r="A24" s="5">
        <v>45200</v>
      </c>
      <c r="B24" s="6">
        <v>2784.8</v>
      </c>
      <c r="C24" s="6">
        <v>301.60000000000002</v>
      </c>
      <c r="D24" s="21" t="s">
        <v>73</v>
      </c>
      <c r="E24" s="6" t="s">
        <v>21</v>
      </c>
      <c r="F24" s="17">
        <v>384</v>
      </c>
      <c r="G24" s="17">
        <v>454.63299999999998</v>
      </c>
      <c r="H24" s="17"/>
      <c r="I24" s="17">
        <f t="shared" si="3"/>
        <v>-70.632999999999981</v>
      </c>
      <c r="J24" s="6"/>
      <c r="K24" s="6">
        <v>0</v>
      </c>
      <c r="L24" s="6"/>
      <c r="M24" s="6"/>
      <c r="N24" s="17">
        <v>9.6509999999999998</v>
      </c>
      <c r="O24" s="11">
        <f>N24*O4</f>
        <v>204.21516</v>
      </c>
      <c r="P24" s="11">
        <f>N24*P4</f>
        <v>280.07202000000001</v>
      </c>
      <c r="Q24" s="50">
        <f t="shared" si="2"/>
        <v>9.6509999999999998</v>
      </c>
      <c r="R24" s="7"/>
      <c r="S24" s="36">
        <f>-(Q24*O4)</f>
        <v>-204.21516</v>
      </c>
      <c r="T24" s="36">
        <f>-(Q24*P4)</f>
        <v>-280.07202000000001</v>
      </c>
    </row>
    <row r="25" spans="1:20" hidden="1" x14ac:dyDescent="0.25">
      <c r="A25" s="5">
        <v>45231</v>
      </c>
      <c r="B25" s="6">
        <v>2784.8</v>
      </c>
      <c r="C25" s="6">
        <v>301.60000000000002</v>
      </c>
      <c r="D25" s="21" t="s">
        <v>74</v>
      </c>
      <c r="E25" s="6" t="s">
        <v>21</v>
      </c>
      <c r="F25" s="17">
        <v>394</v>
      </c>
      <c r="G25" s="17">
        <v>488.404</v>
      </c>
      <c r="H25" s="17"/>
      <c r="I25" s="17">
        <f t="shared" si="3"/>
        <v>-94.403999999999996</v>
      </c>
      <c r="J25" s="6"/>
      <c r="K25" s="6">
        <v>0</v>
      </c>
      <c r="L25" s="6"/>
      <c r="M25" s="6"/>
      <c r="N25" s="17">
        <v>9.6509999999999998</v>
      </c>
      <c r="O25" s="11">
        <f>N25*O4</f>
        <v>204.21516</v>
      </c>
      <c r="P25" s="11">
        <f>N25*P4</f>
        <v>280.07202000000001</v>
      </c>
      <c r="Q25" s="50">
        <f t="shared" si="2"/>
        <v>9.6509999999999998</v>
      </c>
      <c r="R25" s="7"/>
      <c r="S25" s="36">
        <f>-(Q25*O4)</f>
        <v>-204.21516</v>
      </c>
      <c r="T25" s="36">
        <f>-(Q25*P4)</f>
        <v>-280.07202000000001</v>
      </c>
    </row>
    <row r="26" spans="1:20" hidden="1" x14ac:dyDescent="0.25">
      <c r="A26" s="5">
        <v>45261</v>
      </c>
      <c r="B26" s="6">
        <v>2784.8</v>
      </c>
      <c r="C26" s="6">
        <v>301.60000000000002</v>
      </c>
      <c r="D26" s="21" t="s">
        <v>75</v>
      </c>
      <c r="E26" s="6" t="s">
        <v>21</v>
      </c>
      <c r="F26" s="17">
        <v>384</v>
      </c>
      <c r="G26" s="17">
        <v>458.82499999999999</v>
      </c>
      <c r="H26" s="17"/>
      <c r="I26" s="17">
        <f t="shared" si="3"/>
        <v>-74.824999999999989</v>
      </c>
      <c r="J26" s="6"/>
      <c r="K26" s="6">
        <v>0</v>
      </c>
      <c r="L26" s="6"/>
      <c r="M26" s="6"/>
      <c r="N26" s="17">
        <v>9.6509999999999998</v>
      </c>
      <c r="O26" s="11">
        <f>N26*O4</f>
        <v>204.21516</v>
      </c>
      <c r="P26" s="11">
        <f>N26*P4</f>
        <v>280.07202000000001</v>
      </c>
      <c r="Q26" s="50">
        <f t="shared" si="2"/>
        <v>9.6509999999999998</v>
      </c>
      <c r="R26" s="7"/>
      <c r="S26" s="36">
        <f>-(Q26*O4)</f>
        <v>-204.21516</v>
      </c>
      <c r="T26" s="36">
        <f>-(Q26*P4)</f>
        <v>-280.07202000000001</v>
      </c>
    </row>
    <row r="27" spans="1:20" hidden="1" x14ac:dyDescent="0.25">
      <c r="B27" s="1"/>
      <c r="C27" s="1"/>
      <c r="O27" s="39">
        <f>SUM(O15:O26)</f>
        <v>2450.5819200000001</v>
      </c>
      <c r="P27" s="39">
        <f>SUM(P15:P26)</f>
        <v>3360.8642400000003</v>
      </c>
      <c r="Q27" s="41"/>
      <c r="R27" s="41"/>
      <c r="S27" s="39">
        <f>SUM(S15:S26)</f>
        <v>-2450.5819200000001</v>
      </c>
      <c r="T27" s="39">
        <f>SUM(T15:T26)</f>
        <v>-3360.8642400000003</v>
      </c>
    </row>
    <row r="28" spans="1:20" hidden="1" x14ac:dyDescent="0.25">
      <c r="B28" s="1"/>
      <c r="C28" s="1"/>
      <c r="O28" s="41"/>
      <c r="P28" s="41"/>
      <c r="Q28" s="41"/>
      <c r="R28" s="41" t="s">
        <v>41</v>
      </c>
      <c r="T28" s="41"/>
    </row>
    <row r="29" spans="1:20" hidden="1" x14ac:dyDescent="0.25">
      <c r="B29" s="1"/>
      <c r="C29" s="1"/>
      <c r="O29" s="41"/>
      <c r="P29" s="41"/>
      <c r="Q29" s="41"/>
      <c r="R29" s="41"/>
      <c r="S29" s="41"/>
      <c r="T29" s="42">
        <f>S27+T27</f>
        <v>-5811.4461600000004</v>
      </c>
    </row>
    <row r="30" spans="1:20" hidden="1" x14ac:dyDescent="0.25"/>
    <row r="31" spans="1:20" hidden="1" x14ac:dyDescent="0.25"/>
    <row r="33" spans="1:20" x14ac:dyDescent="0.25">
      <c r="A33" s="5">
        <v>45292</v>
      </c>
      <c r="B33" s="6">
        <v>2784.8</v>
      </c>
      <c r="C33" s="6">
        <v>301.60000000000002</v>
      </c>
      <c r="D33" s="21" t="s">
        <v>27</v>
      </c>
      <c r="E33" s="6" t="s">
        <v>21</v>
      </c>
      <c r="F33" s="17">
        <v>445</v>
      </c>
      <c r="G33" s="17">
        <v>469.15199999999999</v>
      </c>
      <c r="H33" s="17"/>
      <c r="I33" s="17">
        <f>F33-(G33+H33)</f>
        <v>-24.151999999999987</v>
      </c>
      <c r="J33" s="6"/>
      <c r="K33" s="6">
        <v>0</v>
      </c>
      <c r="L33" s="6"/>
      <c r="M33" s="6"/>
      <c r="N33" s="17">
        <v>9.6509999999999998</v>
      </c>
      <c r="O33" s="11">
        <f>N33*Q3</f>
        <v>204.21516</v>
      </c>
      <c r="P33" s="11">
        <f>N33*R3</f>
        <v>280.07202000000001</v>
      </c>
      <c r="Q33" s="50"/>
      <c r="R33" s="50"/>
      <c r="S33" s="36">
        <f>-(N33*Q3)</f>
        <v>-204.21516</v>
      </c>
      <c r="T33" s="36">
        <f>-(N33*R3)</f>
        <v>-280.07202000000001</v>
      </c>
    </row>
    <row r="34" spans="1:20" x14ac:dyDescent="0.25">
      <c r="A34" s="5">
        <v>45323</v>
      </c>
      <c r="B34" s="6">
        <v>2784.8</v>
      </c>
      <c r="C34" s="6">
        <v>301.60000000000002</v>
      </c>
      <c r="D34" s="21" t="s">
        <v>54</v>
      </c>
      <c r="E34" s="6" t="s">
        <v>21</v>
      </c>
      <c r="F34" s="17">
        <v>383</v>
      </c>
      <c r="G34" s="17">
        <v>466.4</v>
      </c>
      <c r="H34" s="17"/>
      <c r="I34" s="17">
        <f t="shared" ref="I34" si="4">F34-(G34+H34)</f>
        <v>-83.399999999999977</v>
      </c>
      <c r="J34" s="6"/>
      <c r="K34" s="6">
        <v>0</v>
      </c>
      <c r="L34" s="6"/>
      <c r="M34" s="6"/>
      <c r="N34" s="17">
        <v>9.6509999999999998</v>
      </c>
      <c r="O34" s="11">
        <f>N34*Q3</f>
        <v>204.21516</v>
      </c>
      <c r="P34" s="11">
        <f>N34*R3</f>
        <v>280.07202000000001</v>
      </c>
      <c r="Q34" s="50"/>
      <c r="R34" s="22"/>
      <c r="S34" s="36">
        <f>-(N34*Q3)</f>
        <v>-204.21516</v>
      </c>
      <c r="T34" s="36">
        <f>-(N34*R3)</f>
        <v>-280.07202000000001</v>
      </c>
    </row>
    <row r="35" spans="1:20" x14ac:dyDescent="0.25">
      <c r="A35" s="5">
        <v>45352</v>
      </c>
      <c r="B35" s="6">
        <v>2784.8</v>
      </c>
      <c r="C35" s="6">
        <v>301.60000000000002</v>
      </c>
      <c r="D35" s="21" t="s">
        <v>55</v>
      </c>
      <c r="E35" s="6" t="s">
        <v>21</v>
      </c>
      <c r="F35" s="17">
        <v>403</v>
      </c>
      <c r="G35" s="17">
        <v>455.3</v>
      </c>
      <c r="H35" s="17"/>
      <c r="I35" s="17">
        <f t="shared" ref="I35:I44" si="5">F35-(G35+H35)</f>
        <v>-52.300000000000011</v>
      </c>
      <c r="J35" s="6"/>
      <c r="K35" s="6">
        <v>0</v>
      </c>
      <c r="L35" s="6"/>
      <c r="M35" s="6"/>
      <c r="N35" s="17">
        <v>9.6509999999999998</v>
      </c>
      <c r="O35" s="11">
        <f>N35*Q3</f>
        <v>204.21516</v>
      </c>
      <c r="P35" s="11">
        <f>N35*R3</f>
        <v>280.07202000000001</v>
      </c>
      <c r="Q35" s="50"/>
      <c r="R35" s="7"/>
      <c r="S35" s="36">
        <f>-(N35*Q3)</f>
        <v>-204.21516</v>
      </c>
      <c r="T35" s="36">
        <f>-(N35*R3)</f>
        <v>-280.07202000000001</v>
      </c>
    </row>
    <row r="36" spans="1:20" x14ac:dyDescent="0.25">
      <c r="A36" s="5">
        <v>45383</v>
      </c>
      <c r="B36" s="6">
        <v>2784.8</v>
      </c>
      <c r="C36" s="6">
        <v>301.60000000000002</v>
      </c>
      <c r="D36" s="21" t="s">
        <v>56</v>
      </c>
      <c r="E36" s="6" t="s">
        <v>21</v>
      </c>
      <c r="F36" s="17">
        <v>405</v>
      </c>
      <c r="G36" s="17">
        <v>488.875</v>
      </c>
      <c r="H36" s="17"/>
      <c r="I36" s="17">
        <f t="shared" si="5"/>
        <v>-83.875</v>
      </c>
      <c r="J36" s="6"/>
      <c r="K36" s="6">
        <v>0</v>
      </c>
      <c r="L36" s="6"/>
      <c r="M36" s="6"/>
      <c r="N36" s="17">
        <v>9.6509999999999998</v>
      </c>
      <c r="O36" s="11">
        <f>N36*Q3</f>
        <v>204.21516</v>
      </c>
      <c r="P36" s="11">
        <f>N36*R3</f>
        <v>280.07202000000001</v>
      </c>
      <c r="Q36" s="50"/>
      <c r="R36" s="7"/>
      <c r="S36" s="36">
        <f>-(N36*Q3)</f>
        <v>-204.21516</v>
      </c>
      <c r="T36" s="36">
        <f>-(N36*R3)</f>
        <v>-280.07202000000001</v>
      </c>
    </row>
    <row r="37" spans="1:20" x14ac:dyDescent="0.25">
      <c r="A37" s="5">
        <v>45413</v>
      </c>
      <c r="B37" s="6">
        <v>2784.8</v>
      </c>
      <c r="C37" s="6">
        <v>301.60000000000002</v>
      </c>
      <c r="D37" s="21" t="s">
        <v>57</v>
      </c>
      <c r="E37" s="6" t="s">
        <v>21</v>
      </c>
      <c r="F37" s="17">
        <v>346</v>
      </c>
      <c r="G37" s="17">
        <v>482.61099999999999</v>
      </c>
      <c r="H37" s="17"/>
      <c r="I37" s="17">
        <f t="shared" si="5"/>
        <v>-136.61099999999999</v>
      </c>
      <c r="J37" s="6"/>
      <c r="K37" s="6">
        <v>0</v>
      </c>
      <c r="L37" s="6"/>
      <c r="M37" s="6"/>
      <c r="N37" s="17">
        <v>9.6509999999999998</v>
      </c>
      <c r="O37" s="11">
        <f>N37*Q3</f>
        <v>204.21516</v>
      </c>
      <c r="P37" s="11">
        <f>N37*R3</f>
        <v>280.07202000000001</v>
      </c>
      <c r="Q37" s="50"/>
      <c r="R37" s="7"/>
      <c r="S37" s="36">
        <f>-(N37*Q3)</f>
        <v>-204.21516</v>
      </c>
      <c r="T37" s="36">
        <f>-(N37*R3)</f>
        <v>-280.07202000000001</v>
      </c>
    </row>
    <row r="38" spans="1:20" x14ac:dyDescent="0.25">
      <c r="A38" s="5">
        <v>45444</v>
      </c>
      <c r="B38" s="6">
        <v>2784.8</v>
      </c>
      <c r="C38" s="6">
        <v>301.60000000000002</v>
      </c>
      <c r="D38" s="21" t="s">
        <v>58</v>
      </c>
      <c r="E38" s="6" t="s">
        <v>21</v>
      </c>
      <c r="F38" s="17">
        <v>364</v>
      </c>
      <c r="G38" s="17">
        <v>443.96</v>
      </c>
      <c r="H38" s="17"/>
      <c r="I38" s="17">
        <f t="shared" si="5"/>
        <v>-79.95999999999998</v>
      </c>
      <c r="J38" s="6"/>
      <c r="K38" s="6">
        <v>0</v>
      </c>
      <c r="L38" s="6"/>
      <c r="M38" s="6"/>
      <c r="N38" s="17">
        <v>9.6509999999999998</v>
      </c>
      <c r="O38" s="11">
        <f>N38*Q3</f>
        <v>204.21516</v>
      </c>
      <c r="P38" s="11">
        <f>N38*R3</f>
        <v>280.07202000000001</v>
      </c>
      <c r="Q38" s="50"/>
      <c r="R38" s="7"/>
      <c r="S38" s="36">
        <f>-(N38*Q3)</f>
        <v>-204.21516</v>
      </c>
      <c r="T38" s="36">
        <f>-(N38*R3)</f>
        <v>-280.07202000000001</v>
      </c>
    </row>
    <row r="39" spans="1:20" x14ac:dyDescent="0.25">
      <c r="A39" s="5">
        <v>45474</v>
      </c>
      <c r="B39" s="6">
        <v>2784.8</v>
      </c>
      <c r="C39" s="6">
        <v>301.60000000000002</v>
      </c>
      <c r="D39" s="21" t="s">
        <v>59</v>
      </c>
      <c r="E39" s="6" t="s">
        <v>21</v>
      </c>
      <c r="F39" s="17">
        <v>388</v>
      </c>
      <c r="G39" s="17">
        <v>460.82</v>
      </c>
      <c r="H39" s="17"/>
      <c r="I39" s="17">
        <f t="shared" si="5"/>
        <v>-72.819999999999993</v>
      </c>
      <c r="J39" s="6"/>
      <c r="K39" s="6">
        <v>0</v>
      </c>
      <c r="L39" s="6"/>
      <c r="M39" s="6"/>
      <c r="N39" s="17">
        <v>9.6509999999999998</v>
      </c>
      <c r="O39" s="11">
        <f>N39*Q4</f>
        <v>226.41246000000001</v>
      </c>
      <c r="P39" s="11">
        <f>N39*R4</f>
        <v>299.27751000000001</v>
      </c>
      <c r="Q39" s="50"/>
      <c r="R39" s="7"/>
      <c r="S39" s="36">
        <f>-(N39*Q4)</f>
        <v>-226.41246000000001</v>
      </c>
      <c r="T39" s="36">
        <f>-(N39*R4)</f>
        <v>-299.27751000000001</v>
      </c>
    </row>
    <row r="40" spans="1:20" x14ac:dyDescent="0.25">
      <c r="A40" s="5">
        <v>45505</v>
      </c>
      <c r="B40" s="6">
        <v>2784.8</v>
      </c>
      <c r="C40" s="6">
        <v>301.60000000000002</v>
      </c>
      <c r="D40" s="21" t="s">
        <v>60</v>
      </c>
      <c r="E40" s="6" t="s">
        <v>21</v>
      </c>
      <c r="F40" s="17">
        <v>385</v>
      </c>
      <c r="G40" s="17">
        <v>438.43</v>
      </c>
      <c r="H40" s="17"/>
      <c r="I40" s="17">
        <f t="shared" si="5"/>
        <v>-53.430000000000007</v>
      </c>
      <c r="J40" s="6"/>
      <c r="K40" s="6">
        <v>0</v>
      </c>
      <c r="L40" s="6"/>
      <c r="M40" s="6"/>
      <c r="N40" s="17">
        <v>9.6509999999999998</v>
      </c>
      <c r="O40" s="11">
        <f>N40*Q4</f>
        <v>226.41246000000001</v>
      </c>
      <c r="P40" s="11">
        <f>N40*R4</f>
        <v>299.27751000000001</v>
      </c>
      <c r="Q40" s="50"/>
      <c r="R40" s="7"/>
      <c r="S40" s="36">
        <f>-(N40*Q4)</f>
        <v>-226.41246000000001</v>
      </c>
      <c r="T40" s="36">
        <f>-(N40*R4)</f>
        <v>-299.27751000000001</v>
      </c>
    </row>
    <row r="41" spans="1:20" x14ac:dyDescent="0.25">
      <c r="A41" s="5">
        <v>45536</v>
      </c>
      <c r="B41" s="6">
        <v>2784.8</v>
      </c>
      <c r="C41" s="6">
        <v>301.60000000000002</v>
      </c>
      <c r="D41" s="21" t="s">
        <v>61</v>
      </c>
      <c r="E41" s="6" t="s">
        <v>21</v>
      </c>
      <c r="F41" s="17">
        <v>377</v>
      </c>
      <c r="G41" s="17">
        <v>441.87599999999998</v>
      </c>
      <c r="H41" s="17"/>
      <c r="I41" s="17">
        <f t="shared" si="5"/>
        <v>-64.875999999999976</v>
      </c>
      <c r="J41" s="6"/>
      <c r="K41" s="6">
        <v>0</v>
      </c>
      <c r="L41" s="6"/>
      <c r="M41" s="6"/>
      <c r="N41" s="17">
        <v>9.6509999999999998</v>
      </c>
      <c r="O41" s="11">
        <f>N41*Q4</f>
        <v>226.41246000000001</v>
      </c>
      <c r="P41" s="11">
        <f>N41*R4</f>
        <v>299.27751000000001</v>
      </c>
      <c r="Q41" s="50"/>
      <c r="R41" s="7"/>
      <c r="S41" s="36">
        <f>-(N41*Q4)</f>
        <v>-226.41246000000001</v>
      </c>
      <c r="T41" s="36">
        <f>-(N41*R4)</f>
        <v>-299.27751000000001</v>
      </c>
    </row>
    <row r="42" spans="1:20" x14ac:dyDescent="0.25">
      <c r="A42" s="5">
        <v>45566</v>
      </c>
      <c r="B42" s="6">
        <v>2784.8</v>
      </c>
      <c r="C42" s="6">
        <v>301.60000000000002</v>
      </c>
      <c r="D42" s="21" t="s">
        <v>62</v>
      </c>
      <c r="E42" s="6" t="s">
        <v>21</v>
      </c>
      <c r="F42" s="17">
        <v>377</v>
      </c>
      <c r="G42" s="17">
        <v>423.86900000000003</v>
      </c>
      <c r="H42" s="17"/>
      <c r="I42" s="17">
        <f t="shared" si="5"/>
        <v>-46.869000000000028</v>
      </c>
      <c r="J42" s="6"/>
      <c r="K42" s="6">
        <v>0</v>
      </c>
      <c r="L42" s="6"/>
      <c r="M42" s="6"/>
      <c r="N42" s="17">
        <v>9.6509999999999998</v>
      </c>
      <c r="O42" s="11">
        <f>N42*Q4</f>
        <v>226.41246000000001</v>
      </c>
      <c r="P42" s="11">
        <f>N42*R4</f>
        <v>299.27751000000001</v>
      </c>
      <c r="Q42" s="50"/>
      <c r="R42" s="7"/>
      <c r="S42" s="36">
        <f>-(N42*Q4)</f>
        <v>-226.41246000000001</v>
      </c>
      <c r="T42" s="36">
        <f>-(N42*R4)</f>
        <v>-299.27751000000001</v>
      </c>
    </row>
    <row r="43" spans="1:20" x14ac:dyDescent="0.25">
      <c r="A43" s="5">
        <v>45597</v>
      </c>
      <c r="B43" s="6">
        <v>2784.8</v>
      </c>
      <c r="C43" s="6">
        <v>301.60000000000002</v>
      </c>
      <c r="D43" s="21" t="s">
        <v>63</v>
      </c>
      <c r="E43" s="6" t="s">
        <v>21</v>
      </c>
      <c r="F43" s="17">
        <v>386</v>
      </c>
      <c r="G43" s="17">
        <v>460.58</v>
      </c>
      <c r="H43" s="17"/>
      <c r="I43" s="17">
        <f t="shared" si="5"/>
        <v>-74.579999999999984</v>
      </c>
      <c r="J43" s="6"/>
      <c r="K43" s="6">
        <v>0</v>
      </c>
      <c r="L43" s="6"/>
      <c r="M43" s="6"/>
      <c r="N43" s="17">
        <v>9.6509999999999998</v>
      </c>
      <c r="O43" s="11">
        <f>N43*Q4</f>
        <v>226.41246000000001</v>
      </c>
      <c r="P43" s="11">
        <f>N43*R4</f>
        <v>299.27751000000001</v>
      </c>
      <c r="Q43" s="50"/>
      <c r="R43" s="7"/>
      <c r="S43" s="36">
        <f>-(N43*Q4)</f>
        <v>-226.41246000000001</v>
      </c>
      <c r="T43" s="36">
        <f>-(N43*R4)</f>
        <v>-299.27751000000001</v>
      </c>
    </row>
    <row r="44" spans="1:20" x14ac:dyDescent="0.25">
      <c r="A44" s="5">
        <v>45627</v>
      </c>
      <c r="B44" s="6">
        <v>2784.8</v>
      </c>
      <c r="C44" s="6">
        <v>301.60000000000002</v>
      </c>
      <c r="D44" s="21" t="s">
        <v>64</v>
      </c>
      <c r="E44" s="6" t="s">
        <v>21</v>
      </c>
      <c r="F44" s="17">
        <v>371</v>
      </c>
      <c r="G44" s="17">
        <v>442.58</v>
      </c>
      <c r="H44" s="17"/>
      <c r="I44" s="17">
        <f t="shared" si="5"/>
        <v>-71.579999999999984</v>
      </c>
      <c r="J44" s="6"/>
      <c r="K44" s="6">
        <v>0</v>
      </c>
      <c r="L44" s="6"/>
      <c r="M44" s="6"/>
      <c r="N44" s="17">
        <v>9.6509999999999998</v>
      </c>
      <c r="O44" s="11">
        <f>N44*Q4</f>
        <v>226.41246000000001</v>
      </c>
      <c r="P44" s="11">
        <f>N44*R4</f>
        <v>299.27751000000001</v>
      </c>
      <c r="Q44" s="50"/>
      <c r="R44" s="7"/>
      <c r="S44" s="36">
        <f>-(N44*Q4)</f>
        <v>-226.41246000000001</v>
      </c>
      <c r="T44" s="36">
        <f>-(N44*R4)</f>
        <v>-299.27751000000001</v>
      </c>
    </row>
    <row r="45" spans="1:20" x14ac:dyDescent="0.25">
      <c r="B45" s="1"/>
      <c r="C45" s="1"/>
      <c r="N45" s="62">
        <f>SUM(N33:N44)</f>
        <v>115.81199999999997</v>
      </c>
      <c r="O45" s="39">
        <f>SUM(O33:O44)</f>
        <v>2583.7657200000003</v>
      </c>
      <c r="P45" s="39">
        <f>SUM(P33:P44)</f>
        <v>3476.0971799999998</v>
      </c>
      <c r="Q45" s="47"/>
      <c r="R45" s="41"/>
      <c r="S45" s="39">
        <f>SUM(S33:S44)</f>
        <v>-2583.7657200000003</v>
      </c>
      <c r="T45" s="39">
        <f>SUM(T33:T44)</f>
        <v>-3476.0971799999998</v>
      </c>
    </row>
    <row r="46" spans="1:20" x14ac:dyDescent="0.25">
      <c r="B46" s="1"/>
      <c r="C46" s="1"/>
      <c r="N46" s="62">
        <f>SUM(N33:N38)</f>
        <v>57.905999999999992</v>
      </c>
      <c r="O46" s="41"/>
      <c r="P46" s="41"/>
      <c r="Q46" s="41"/>
      <c r="R46" s="41" t="s">
        <v>41</v>
      </c>
      <c r="T46" s="41"/>
    </row>
    <row r="47" spans="1:20" x14ac:dyDescent="0.25">
      <c r="B47" s="1"/>
      <c r="C47" s="1"/>
      <c r="N47" s="62">
        <f>SUM(N39:N44)</f>
        <v>57.905999999999992</v>
      </c>
      <c r="O47" s="41"/>
      <c r="P47" s="41"/>
      <c r="Q47" s="41"/>
      <c r="R47" s="41"/>
      <c r="S47" s="41"/>
      <c r="T47" s="42">
        <f>S45+T45</f>
        <v>-6059.8629000000001</v>
      </c>
    </row>
  </sheetData>
  <sheetProtection algorithmName="SHA-512" hashValue="nyTcmU0dVYOnZbBrwtxuBIaaYgaTfWOUjgyxyyOut36oCmUo1dzxmkfM+vIfK/owlqPtHUMtdyT4IK0+tGQ+7w==" saltValue="rPgFDRI5uozZlwVV1n3JDQ==" spinCount="100000" sheet="1" formatCells="0" formatColumns="0" formatRows="0" insertColumns="0" insertRows="0" insertHyperlinks="0" deleteColumns="0" deleteRows="0" sort="0" autoFilter="0" pivotTables="0"/>
  <mergeCells count="22">
    <mergeCell ref="A3:D3"/>
    <mergeCell ref="H3:M3"/>
    <mergeCell ref="H4:M4"/>
    <mergeCell ref="A1:Q1"/>
    <mergeCell ref="N5:N6"/>
    <mergeCell ref="O5:O6"/>
    <mergeCell ref="Q5:R5"/>
    <mergeCell ref="G5:G6"/>
    <mergeCell ref="H5:H6"/>
    <mergeCell ref="I5:I6"/>
    <mergeCell ref="J5:K5"/>
    <mergeCell ref="L5:L6"/>
    <mergeCell ref="M5:M6"/>
    <mergeCell ref="A5:A6"/>
    <mergeCell ref="B5:B6"/>
    <mergeCell ref="T5:T6"/>
    <mergeCell ref="C5:C6"/>
    <mergeCell ref="D5:D6"/>
    <mergeCell ref="E5:E6"/>
    <mergeCell ref="F5:F6"/>
    <mergeCell ref="S5:S6"/>
    <mergeCell ref="P5:P6"/>
  </mergeCells>
  <pageMargins left="0.25" right="0.25" top="0.75" bottom="0.7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topLeftCell="A7" zoomScale="70" zoomScaleNormal="70" workbookViewId="0">
      <selection activeCell="N10" sqref="N10:N11"/>
    </sheetView>
  </sheetViews>
  <sheetFormatPr defaultRowHeight="15" x14ac:dyDescent="0.25"/>
  <cols>
    <col min="1" max="1" width="13.85546875" style="2" customWidth="1"/>
    <col min="2" max="3" width="21" customWidth="1"/>
    <col min="4" max="4" width="21.7109375" customWidth="1"/>
    <col min="5" max="5" width="18" customWidth="1"/>
    <col min="6" max="6" width="24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25.140625" bestFit="1" customWidth="1"/>
    <col min="14" max="14" width="19.7109375" customWidth="1"/>
    <col min="15" max="15" width="17" customWidth="1"/>
    <col min="16" max="16" width="20.7109375" customWidth="1"/>
    <col min="17" max="17" width="14" customWidth="1"/>
    <col min="18" max="18" width="16.85546875" customWidth="1"/>
    <col min="19" max="20" width="16.4257812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20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20" x14ac:dyDescent="0.25">
      <c r="A2" s="27"/>
      <c r="B2" s="27"/>
      <c r="C2" s="27"/>
      <c r="D2" s="27"/>
      <c r="E2" s="27"/>
      <c r="F2" s="27"/>
      <c r="G2" s="27"/>
      <c r="H2" s="28"/>
      <c r="I2" s="28"/>
      <c r="J2" s="28"/>
      <c r="K2" s="28"/>
      <c r="L2" s="28"/>
      <c r="M2" s="28"/>
      <c r="N2" s="28"/>
      <c r="O2" s="29" t="s">
        <v>21</v>
      </c>
      <c r="P2" s="29" t="s">
        <v>33</v>
      </c>
      <c r="Q2" s="29" t="s">
        <v>21</v>
      </c>
      <c r="R2" s="29" t="s">
        <v>33</v>
      </c>
    </row>
    <row r="3" spans="1:20" ht="18.75" x14ac:dyDescent="0.25">
      <c r="A3" s="76" t="s">
        <v>14</v>
      </c>
      <c r="B3" s="76"/>
      <c r="C3" s="76"/>
      <c r="D3" s="76"/>
      <c r="H3" s="83" t="s">
        <v>32</v>
      </c>
      <c r="I3" s="83"/>
      <c r="J3" s="83"/>
      <c r="K3" s="83"/>
      <c r="L3" s="83"/>
      <c r="M3" s="84"/>
      <c r="N3" s="30" t="s">
        <v>13</v>
      </c>
      <c r="O3" s="31">
        <v>17.64</v>
      </c>
      <c r="P3" s="30">
        <v>26.93</v>
      </c>
      <c r="Q3" s="31">
        <v>21.16</v>
      </c>
      <c r="R3" s="30">
        <v>29.02</v>
      </c>
    </row>
    <row r="4" spans="1:20" x14ac:dyDescent="0.25">
      <c r="H4" s="85" t="s">
        <v>34</v>
      </c>
      <c r="I4" s="85"/>
      <c r="J4" s="85"/>
      <c r="K4" s="85"/>
      <c r="L4" s="85"/>
      <c r="M4" s="86"/>
      <c r="N4" s="30" t="s">
        <v>35</v>
      </c>
      <c r="O4" s="30">
        <v>21.16</v>
      </c>
      <c r="P4" s="30">
        <v>29.02</v>
      </c>
      <c r="Q4" s="30">
        <v>23.46</v>
      </c>
      <c r="R4" s="30">
        <v>31.01</v>
      </c>
    </row>
    <row r="5" spans="1:20" ht="99" customHeight="1" x14ac:dyDescent="0.25">
      <c r="A5" s="78" t="s">
        <v>3</v>
      </c>
      <c r="B5" s="78" t="s">
        <v>2</v>
      </c>
      <c r="C5" s="79" t="s">
        <v>10</v>
      </c>
      <c r="D5" s="78" t="s">
        <v>11</v>
      </c>
      <c r="E5" s="78" t="s">
        <v>0</v>
      </c>
      <c r="F5" s="78" t="s">
        <v>6</v>
      </c>
      <c r="G5" s="78" t="s">
        <v>7</v>
      </c>
      <c r="H5" s="78" t="s">
        <v>8</v>
      </c>
      <c r="I5" s="78" t="s">
        <v>9</v>
      </c>
      <c r="J5" s="78" t="s">
        <v>22</v>
      </c>
      <c r="K5" s="78"/>
      <c r="L5" s="78" t="s">
        <v>24</v>
      </c>
      <c r="M5" s="78" t="s">
        <v>25</v>
      </c>
      <c r="N5" s="79" t="s">
        <v>44</v>
      </c>
      <c r="O5" s="78" t="s">
        <v>26</v>
      </c>
      <c r="P5" s="78" t="s">
        <v>43</v>
      </c>
      <c r="Q5" s="78" t="s">
        <v>4</v>
      </c>
      <c r="R5" s="78"/>
      <c r="S5" s="78" t="s">
        <v>53</v>
      </c>
      <c r="T5" s="78" t="s">
        <v>52</v>
      </c>
    </row>
    <row r="6" spans="1:20" ht="92.25" customHeight="1" x14ac:dyDescent="0.25">
      <c r="A6" s="78"/>
      <c r="B6" s="78"/>
      <c r="C6" s="80"/>
      <c r="D6" s="78"/>
      <c r="E6" s="78"/>
      <c r="F6" s="78"/>
      <c r="G6" s="78"/>
      <c r="H6" s="78"/>
      <c r="I6" s="78"/>
      <c r="J6" s="3" t="s">
        <v>1</v>
      </c>
      <c r="K6" s="3" t="s">
        <v>23</v>
      </c>
      <c r="L6" s="78"/>
      <c r="M6" s="78"/>
      <c r="N6" s="80"/>
      <c r="O6" s="78"/>
      <c r="P6" s="78"/>
      <c r="Q6" s="3" t="s">
        <v>38</v>
      </c>
      <c r="R6" s="3" t="s">
        <v>39</v>
      </c>
      <c r="S6" s="78"/>
      <c r="T6" s="78"/>
    </row>
    <row r="7" spans="1:20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</row>
    <row r="8" spans="1:20" hidden="1" x14ac:dyDescent="0.25">
      <c r="A8" s="5">
        <v>44805</v>
      </c>
      <c r="B8" s="87">
        <v>11231.77</v>
      </c>
      <c r="C8" s="87">
        <v>1264.5999999999999</v>
      </c>
      <c r="D8" s="20" t="s">
        <v>29</v>
      </c>
      <c r="E8" s="87" t="s">
        <v>21</v>
      </c>
      <c r="F8" s="89">
        <v>2059</v>
      </c>
      <c r="G8" s="89">
        <v>2047.117</v>
      </c>
      <c r="H8" s="89"/>
      <c r="I8" s="89">
        <f>F8-G8</f>
        <v>11.883000000000038</v>
      </c>
      <c r="J8" s="103" t="s">
        <v>45</v>
      </c>
      <c r="K8" s="104"/>
      <c r="L8" s="87"/>
      <c r="M8" s="87"/>
      <c r="N8" s="89">
        <v>40.673000000000002</v>
      </c>
      <c r="O8" s="93">
        <f>N8*O3</f>
        <v>717.47172</v>
      </c>
      <c r="P8" s="93">
        <f>N8*P3</f>
        <v>1095.3238900000001</v>
      </c>
      <c r="Q8" s="89">
        <f>N8</f>
        <v>40.673000000000002</v>
      </c>
      <c r="R8" s="87"/>
      <c r="S8" s="101">
        <f>-(Q8*O3)</f>
        <v>-717.47172</v>
      </c>
      <c r="T8" s="101">
        <f>-(Q8*P3)</f>
        <v>-1095.3238900000001</v>
      </c>
    </row>
    <row r="9" spans="1:20" hidden="1" x14ac:dyDescent="0.25">
      <c r="A9" s="5">
        <v>44805</v>
      </c>
      <c r="B9" s="88"/>
      <c r="C9" s="88"/>
      <c r="D9" s="20" t="s">
        <v>30</v>
      </c>
      <c r="E9" s="88"/>
      <c r="F9" s="90"/>
      <c r="G9" s="90"/>
      <c r="H9" s="90"/>
      <c r="I9" s="90"/>
      <c r="J9" s="105"/>
      <c r="K9" s="106"/>
      <c r="L9" s="88"/>
      <c r="M9" s="88"/>
      <c r="N9" s="90"/>
      <c r="O9" s="94"/>
      <c r="P9" s="94"/>
      <c r="Q9" s="90"/>
      <c r="R9" s="88"/>
      <c r="S9" s="102"/>
      <c r="T9" s="102"/>
    </row>
    <row r="10" spans="1:20" hidden="1" x14ac:dyDescent="0.25">
      <c r="A10" s="5">
        <v>44835</v>
      </c>
      <c r="B10" s="87">
        <v>11231.77</v>
      </c>
      <c r="C10" s="87">
        <v>1264.5999999999999</v>
      </c>
      <c r="D10" s="20" t="s">
        <v>29</v>
      </c>
      <c r="E10" s="87" t="s">
        <v>21</v>
      </c>
      <c r="F10" s="89">
        <v>1809</v>
      </c>
      <c r="G10" s="89">
        <v>2047.7619999999999</v>
      </c>
      <c r="H10" s="89"/>
      <c r="I10" s="89">
        <f t="shared" ref="I10" si="0">F10-G10</f>
        <v>-238.76199999999994</v>
      </c>
      <c r="J10" s="87"/>
      <c r="K10" s="87">
        <v>0</v>
      </c>
      <c r="L10" s="107"/>
      <c r="M10" s="107"/>
      <c r="N10" s="89">
        <v>40.673000000000002</v>
      </c>
      <c r="O10" s="93">
        <f>N10*O3</f>
        <v>717.47172</v>
      </c>
      <c r="P10" s="93">
        <f>N10*P3</f>
        <v>1095.3238900000001</v>
      </c>
      <c r="Q10" s="89">
        <f>N10</f>
        <v>40.673000000000002</v>
      </c>
      <c r="R10" s="87"/>
      <c r="S10" s="101">
        <f>-(Q10*O3)</f>
        <v>-717.47172</v>
      </c>
      <c r="T10" s="101">
        <f>-(Q10*P3)</f>
        <v>-1095.3238900000001</v>
      </c>
    </row>
    <row r="11" spans="1:20" hidden="1" x14ac:dyDescent="0.25">
      <c r="A11" s="5">
        <v>44835</v>
      </c>
      <c r="B11" s="88"/>
      <c r="C11" s="88"/>
      <c r="D11" s="20" t="s">
        <v>30</v>
      </c>
      <c r="E11" s="88"/>
      <c r="F11" s="90"/>
      <c r="G11" s="90"/>
      <c r="H11" s="90"/>
      <c r="I11" s="90"/>
      <c r="J11" s="88"/>
      <c r="K11" s="88"/>
      <c r="L11" s="108"/>
      <c r="M11" s="108"/>
      <c r="N11" s="90"/>
      <c r="O11" s="94"/>
      <c r="P11" s="94"/>
      <c r="Q11" s="90"/>
      <c r="R11" s="88"/>
      <c r="S11" s="102"/>
      <c r="T11" s="102"/>
    </row>
    <row r="12" spans="1:20" hidden="1" x14ac:dyDescent="0.25">
      <c r="A12" s="5">
        <v>44866</v>
      </c>
      <c r="B12" s="87">
        <v>11231.77</v>
      </c>
      <c r="C12" s="87">
        <v>1264.5999999999999</v>
      </c>
      <c r="D12" s="20" t="s">
        <v>29</v>
      </c>
      <c r="E12" s="87" t="s">
        <v>21</v>
      </c>
      <c r="F12" s="89">
        <v>1752</v>
      </c>
      <c r="G12" s="89">
        <v>1963.11</v>
      </c>
      <c r="H12" s="89"/>
      <c r="I12" s="89">
        <f t="shared" ref="I12" si="1">F12-G12</f>
        <v>-211.1099999999999</v>
      </c>
      <c r="J12" s="87"/>
      <c r="K12" s="87">
        <v>0</v>
      </c>
      <c r="L12" s="87"/>
      <c r="M12" s="87"/>
      <c r="N12" s="89">
        <v>40.673000000000002</v>
      </c>
      <c r="O12" s="93">
        <f>N12*O3</f>
        <v>717.47172</v>
      </c>
      <c r="P12" s="93">
        <f>N12*P3</f>
        <v>1095.3238900000001</v>
      </c>
      <c r="Q12" s="89">
        <f t="shared" ref="Q12" si="2">N12</f>
        <v>40.673000000000002</v>
      </c>
      <c r="R12" s="87"/>
      <c r="S12" s="101">
        <f>-(Q12*O3)</f>
        <v>-717.47172</v>
      </c>
      <c r="T12" s="101">
        <f>-(Q12*P3)</f>
        <v>-1095.3238900000001</v>
      </c>
    </row>
    <row r="13" spans="1:20" hidden="1" x14ac:dyDescent="0.25">
      <c r="A13" s="5">
        <v>44866</v>
      </c>
      <c r="B13" s="88"/>
      <c r="C13" s="88"/>
      <c r="D13" s="20" t="s">
        <v>30</v>
      </c>
      <c r="E13" s="88"/>
      <c r="F13" s="90"/>
      <c r="G13" s="90"/>
      <c r="H13" s="90"/>
      <c r="I13" s="90"/>
      <c r="J13" s="88"/>
      <c r="K13" s="88"/>
      <c r="L13" s="88"/>
      <c r="M13" s="88"/>
      <c r="N13" s="90"/>
      <c r="O13" s="94"/>
      <c r="P13" s="94"/>
      <c r="Q13" s="90"/>
      <c r="R13" s="88"/>
      <c r="S13" s="102"/>
      <c r="T13" s="102"/>
    </row>
    <row r="14" spans="1:20" hidden="1" x14ac:dyDescent="0.25">
      <c r="A14" s="5">
        <v>44896</v>
      </c>
      <c r="B14" s="87">
        <v>11231.77</v>
      </c>
      <c r="C14" s="87">
        <v>1264.5999999999999</v>
      </c>
      <c r="D14" s="20" t="s">
        <v>29</v>
      </c>
      <c r="E14" s="87" t="s">
        <v>21</v>
      </c>
      <c r="F14" s="89">
        <v>1678</v>
      </c>
      <c r="G14" s="89">
        <v>1960.932</v>
      </c>
      <c r="H14" s="89"/>
      <c r="I14" s="89">
        <f t="shared" ref="I14" si="3">F14-G14</f>
        <v>-282.93200000000002</v>
      </c>
      <c r="J14" s="87"/>
      <c r="K14" s="87">
        <v>0</v>
      </c>
      <c r="L14" s="87"/>
      <c r="M14" s="87"/>
      <c r="N14" s="89">
        <v>40.673000000000002</v>
      </c>
      <c r="O14" s="93">
        <f>N14*O4</f>
        <v>860.64068000000009</v>
      </c>
      <c r="P14" s="93">
        <f>N14*P4</f>
        <v>1180.3304600000001</v>
      </c>
      <c r="Q14" s="89">
        <f t="shared" ref="Q14" si="4">N14</f>
        <v>40.673000000000002</v>
      </c>
      <c r="R14" s="87"/>
      <c r="S14" s="101">
        <f>-(Q14*O4)</f>
        <v>-860.64068000000009</v>
      </c>
      <c r="T14" s="101">
        <f>-(Q14*P4)</f>
        <v>-1180.3304600000001</v>
      </c>
    </row>
    <row r="15" spans="1:20" hidden="1" x14ac:dyDescent="0.25">
      <c r="A15" s="5">
        <v>44896</v>
      </c>
      <c r="B15" s="88"/>
      <c r="C15" s="88"/>
      <c r="D15" s="20" t="s">
        <v>30</v>
      </c>
      <c r="E15" s="88"/>
      <c r="F15" s="90"/>
      <c r="G15" s="90"/>
      <c r="H15" s="90"/>
      <c r="I15" s="90"/>
      <c r="J15" s="88"/>
      <c r="K15" s="88"/>
      <c r="L15" s="88"/>
      <c r="M15" s="88"/>
      <c r="N15" s="90"/>
      <c r="O15" s="94"/>
      <c r="P15" s="94"/>
      <c r="Q15" s="90"/>
      <c r="R15" s="88"/>
      <c r="S15" s="102"/>
      <c r="T15" s="102"/>
    </row>
    <row r="16" spans="1:20" hidden="1" x14ac:dyDescent="0.25">
      <c r="B16" s="1"/>
      <c r="C16" s="1"/>
      <c r="N16" s="38" t="s">
        <v>46</v>
      </c>
      <c r="O16" s="39">
        <f>SUM(O8:O14)</f>
        <v>3013.05584</v>
      </c>
      <c r="P16" s="40">
        <f>SUM(P8:P14)</f>
        <v>4466.30213</v>
      </c>
      <c r="Q16" s="41"/>
      <c r="R16" s="41"/>
      <c r="S16" s="42">
        <f>SUM(S8:S15)</f>
        <v>-3013.05584</v>
      </c>
      <c r="T16" s="42">
        <f>SUM(T8:T15)</f>
        <v>-4466.30213</v>
      </c>
    </row>
    <row r="17" spans="1:20" hidden="1" x14ac:dyDescent="0.25">
      <c r="B17" s="1"/>
      <c r="C17" s="1"/>
      <c r="N17" s="41"/>
      <c r="O17" s="41"/>
      <c r="P17" s="41"/>
      <c r="Q17" s="41"/>
      <c r="R17" s="41" t="s">
        <v>41</v>
      </c>
      <c r="T17" s="41"/>
    </row>
    <row r="18" spans="1:20" hidden="1" x14ac:dyDescent="0.25">
      <c r="B18" s="1"/>
      <c r="C18" s="1"/>
      <c r="N18" s="41"/>
      <c r="O18" s="41"/>
      <c r="P18" s="41"/>
      <c r="Q18" s="41"/>
      <c r="R18" s="41"/>
      <c r="S18" s="41"/>
      <c r="T18" s="42">
        <f>T16+S16</f>
        <v>-7479.35797</v>
      </c>
    </row>
    <row r="19" spans="1:20" hidden="1" x14ac:dyDescent="0.25">
      <c r="A19" s="5">
        <v>44927</v>
      </c>
      <c r="B19" s="87">
        <v>11231.77</v>
      </c>
      <c r="C19" s="87">
        <v>1264.5999999999999</v>
      </c>
      <c r="D19" s="20" t="s">
        <v>29</v>
      </c>
      <c r="E19" s="87" t="s">
        <v>21</v>
      </c>
      <c r="F19" s="89">
        <f>1184+842</f>
        <v>2026</v>
      </c>
      <c r="G19" s="89">
        <v>2116.5070000000001</v>
      </c>
      <c r="H19" s="89"/>
      <c r="I19" s="89">
        <f t="shared" ref="I19" si="5">F19-G19</f>
        <v>-90.507000000000062</v>
      </c>
      <c r="J19" s="87"/>
      <c r="K19" s="87">
        <v>0</v>
      </c>
      <c r="L19" s="87"/>
      <c r="M19" s="87"/>
      <c r="N19" s="89">
        <v>40.673000000000002</v>
      </c>
      <c r="O19" s="93">
        <f>N19*O4</f>
        <v>860.64068000000009</v>
      </c>
      <c r="P19" s="93">
        <f>N19*P4</f>
        <v>1180.3304600000001</v>
      </c>
      <c r="Q19" s="89">
        <f>N19</f>
        <v>40.673000000000002</v>
      </c>
      <c r="R19" s="87"/>
      <c r="S19" s="101">
        <f>-(Q19*O4)</f>
        <v>-860.64068000000009</v>
      </c>
      <c r="T19" s="101">
        <f>-(Q19*P4)</f>
        <v>-1180.3304600000001</v>
      </c>
    </row>
    <row r="20" spans="1:20" hidden="1" x14ac:dyDescent="0.25">
      <c r="A20" s="5">
        <v>44927</v>
      </c>
      <c r="B20" s="88"/>
      <c r="C20" s="88"/>
      <c r="D20" s="20" t="s">
        <v>30</v>
      </c>
      <c r="E20" s="88"/>
      <c r="F20" s="90"/>
      <c r="G20" s="90"/>
      <c r="H20" s="90"/>
      <c r="I20" s="90"/>
      <c r="J20" s="88"/>
      <c r="K20" s="88"/>
      <c r="L20" s="88"/>
      <c r="M20" s="88"/>
      <c r="N20" s="90"/>
      <c r="O20" s="94"/>
      <c r="P20" s="94"/>
      <c r="Q20" s="90"/>
      <c r="R20" s="88"/>
      <c r="S20" s="102"/>
      <c r="T20" s="102"/>
    </row>
    <row r="21" spans="1:20" hidden="1" x14ac:dyDescent="0.25">
      <c r="A21" s="5">
        <v>44958</v>
      </c>
      <c r="B21" s="87">
        <v>11231.77</v>
      </c>
      <c r="C21" s="87">
        <v>1264.5999999999999</v>
      </c>
      <c r="D21" s="20" t="s">
        <v>29</v>
      </c>
      <c r="E21" s="87" t="s">
        <v>21</v>
      </c>
      <c r="F21" s="89">
        <f>984+699</f>
        <v>1683</v>
      </c>
      <c r="G21" s="89">
        <v>2237.8440000000001</v>
      </c>
      <c r="H21" s="89"/>
      <c r="I21" s="89">
        <f t="shared" ref="I21" si="6">F21-G21</f>
        <v>-554.84400000000005</v>
      </c>
      <c r="J21" s="87"/>
      <c r="K21" s="87">
        <v>0</v>
      </c>
      <c r="L21" s="87"/>
      <c r="M21" s="87"/>
      <c r="N21" s="89">
        <v>40.673000000000002</v>
      </c>
      <c r="O21" s="93">
        <f>N21*O4</f>
        <v>860.64068000000009</v>
      </c>
      <c r="P21" s="93">
        <f>N21*P4</f>
        <v>1180.3304600000001</v>
      </c>
      <c r="Q21" s="89">
        <f t="shared" ref="Q21" si="7">N21</f>
        <v>40.673000000000002</v>
      </c>
      <c r="R21" s="87"/>
      <c r="S21" s="101">
        <f>-(Q21*O4)</f>
        <v>-860.64068000000009</v>
      </c>
      <c r="T21" s="101">
        <f>-(Q21*P4)</f>
        <v>-1180.3304600000001</v>
      </c>
    </row>
    <row r="22" spans="1:20" hidden="1" x14ac:dyDescent="0.25">
      <c r="A22" s="5">
        <v>44958</v>
      </c>
      <c r="B22" s="88"/>
      <c r="C22" s="88"/>
      <c r="D22" s="20" t="s">
        <v>30</v>
      </c>
      <c r="E22" s="88"/>
      <c r="F22" s="90"/>
      <c r="G22" s="90"/>
      <c r="H22" s="90"/>
      <c r="I22" s="90"/>
      <c r="J22" s="88"/>
      <c r="K22" s="88"/>
      <c r="L22" s="88"/>
      <c r="M22" s="88"/>
      <c r="N22" s="90"/>
      <c r="O22" s="94"/>
      <c r="P22" s="94"/>
      <c r="Q22" s="90"/>
      <c r="R22" s="88"/>
      <c r="S22" s="102"/>
      <c r="T22" s="102"/>
    </row>
    <row r="23" spans="1:20" hidden="1" x14ac:dyDescent="0.25">
      <c r="A23" s="5">
        <v>44986</v>
      </c>
      <c r="B23" s="87">
        <v>11231.77</v>
      </c>
      <c r="C23" s="87">
        <v>1264.5999999999999</v>
      </c>
      <c r="D23" s="20" t="s">
        <v>29</v>
      </c>
      <c r="E23" s="87" t="s">
        <v>21</v>
      </c>
      <c r="F23" s="89">
        <f>1030+772</f>
        <v>1802</v>
      </c>
      <c r="G23" s="89">
        <f>1600.242</f>
        <v>1600.242</v>
      </c>
      <c r="H23" s="89"/>
      <c r="I23" s="89">
        <f>F23-G23</f>
        <v>201.75800000000004</v>
      </c>
      <c r="J23" s="87"/>
      <c r="K23" s="87">
        <v>0</v>
      </c>
      <c r="L23" s="87"/>
      <c r="M23" s="87"/>
      <c r="N23" s="89">
        <v>40.673000000000002</v>
      </c>
      <c r="O23" s="93">
        <f>N23*O4</f>
        <v>860.64068000000009</v>
      </c>
      <c r="P23" s="93">
        <f>N23*P4</f>
        <v>1180.3304600000001</v>
      </c>
      <c r="Q23" s="89">
        <f t="shared" ref="Q23" si="8">N23</f>
        <v>40.673000000000002</v>
      </c>
      <c r="R23" s="87"/>
      <c r="S23" s="101">
        <f>-(Q23*O4)</f>
        <v>-860.64068000000009</v>
      </c>
      <c r="T23" s="101">
        <f>-(Q23*P4)</f>
        <v>-1180.3304600000001</v>
      </c>
    </row>
    <row r="24" spans="1:20" hidden="1" x14ac:dyDescent="0.25">
      <c r="A24" s="5">
        <v>44986</v>
      </c>
      <c r="B24" s="88"/>
      <c r="C24" s="88"/>
      <c r="D24" s="20" t="s">
        <v>30</v>
      </c>
      <c r="E24" s="88"/>
      <c r="F24" s="90"/>
      <c r="G24" s="90"/>
      <c r="H24" s="90"/>
      <c r="I24" s="90"/>
      <c r="J24" s="88"/>
      <c r="K24" s="88"/>
      <c r="L24" s="88"/>
      <c r="M24" s="88"/>
      <c r="N24" s="90"/>
      <c r="O24" s="94"/>
      <c r="P24" s="94"/>
      <c r="Q24" s="90"/>
      <c r="R24" s="88"/>
      <c r="S24" s="102"/>
      <c r="T24" s="102"/>
    </row>
    <row r="25" spans="1:20" hidden="1" x14ac:dyDescent="0.25">
      <c r="A25" s="5">
        <v>45017</v>
      </c>
      <c r="B25" s="87">
        <v>11231.77</v>
      </c>
      <c r="C25" s="87">
        <v>1264.5999999999999</v>
      </c>
      <c r="D25" s="20" t="s">
        <v>29</v>
      </c>
      <c r="E25" s="87" t="s">
        <v>21</v>
      </c>
      <c r="F25" s="89">
        <f>1061+791</f>
        <v>1852</v>
      </c>
      <c r="G25" s="89">
        <v>2189.4180000000001</v>
      </c>
      <c r="H25" s="89"/>
      <c r="I25" s="89">
        <f t="shared" ref="I25" si="9">F25-G25</f>
        <v>-337.41800000000012</v>
      </c>
      <c r="J25" s="87"/>
      <c r="K25" s="87">
        <v>0</v>
      </c>
      <c r="L25" s="87"/>
      <c r="M25" s="87"/>
      <c r="N25" s="89">
        <v>40.673000000000002</v>
      </c>
      <c r="O25" s="93">
        <f>N25*O4</f>
        <v>860.64068000000009</v>
      </c>
      <c r="P25" s="93">
        <f>N25*P4</f>
        <v>1180.3304600000001</v>
      </c>
      <c r="Q25" s="89">
        <f t="shared" ref="Q25" si="10">N25</f>
        <v>40.673000000000002</v>
      </c>
      <c r="R25" s="87"/>
      <c r="S25" s="101">
        <f>-(Q25*O4)</f>
        <v>-860.64068000000009</v>
      </c>
      <c r="T25" s="101">
        <f>-(Q25*P4)</f>
        <v>-1180.3304600000001</v>
      </c>
    </row>
    <row r="26" spans="1:20" hidden="1" x14ac:dyDescent="0.25">
      <c r="A26" s="5">
        <v>45017</v>
      </c>
      <c r="B26" s="88"/>
      <c r="C26" s="88"/>
      <c r="D26" s="20" t="s">
        <v>30</v>
      </c>
      <c r="E26" s="88"/>
      <c r="F26" s="90"/>
      <c r="G26" s="90"/>
      <c r="H26" s="90"/>
      <c r="I26" s="90"/>
      <c r="J26" s="88"/>
      <c r="K26" s="88"/>
      <c r="L26" s="88"/>
      <c r="M26" s="88"/>
      <c r="N26" s="90"/>
      <c r="O26" s="94"/>
      <c r="P26" s="94"/>
      <c r="Q26" s="90"/>
      <c r="R26" s="88"/>
      <c r="S26" s="102"/>
      <c r="T26" s="102"/>
    </row>
    <row r="27" spans="1:20" hidden="1" x14ac:dyDescent="0.25">
      <c r="A27" s="5">
        <v>45047</v>
      </c>
      <c r="B27" s="87">
        <v>11231.77</v>
      </c>
      <c r="C27" s="87">
        <v>1264.5999999999999</v>
      </c>
      <c r="D27" s="20" t="s">
        <v>29</v>
      </c>
      <c r="E27" s="87" t="s">
        <v>21</v>
      </c>
      <c r="F27" s="89">
        <f>973+798</f>
        <v>1771</v>
      </c>
      <c r="G27" s="89">
        <v>2102.6990000000001</v>
      </c>
      <c r="H27" s="89"/>
      <c r="I27" s="89">
        <f t="shared" ref="I27" si="11">F27-G27</f>
        <v>-331.69900000000007</v>
      </c>
      <c r="J27" s="87"/>
      <c r="K27" s="87">
        <v>0</v>
      </c>
      <c r="L27" s="87"/>
      <c r="M27" s="87"/>
      <c r="N27" s="89">
        <v>40.673000000000002</v>
      </c>
      <c r="O27" s="93">
        <f>N27*O4</f>
        <v>860.64068000000009</v>
      </c>
      <c r="P27" s="93">
        <f>N27*P4</f>
        <v>1180.3304600000001</v>
      </c>
      <c r="Q27" s="89">
        <f t="shared" ref="Q27" si="12">N27</f>
        <v>40.673000000000002</v>
      </c>
      <c r="R27" s="87"/>
      <c r="S27" s="101">
        <f>-(Q27*O4)</f>
        <v>-860.64068000000009</v>
      </c>
      <c r="T27" s="101">
        <f>-(Q27*P4)</f>
        <v>-1180.3304600000001</v>
      </c>
    </row>
    <row r="28" spans="1:20" hidden="1" x14ac:dyDescent="0.25">
      <c r="A28" s="5">
        <v>45047</v>
      </c>
      <c r="B28" s="88"/>
      <c r="C28" s="88"/>
      <c r="D28" s="20" t="s">
        <v>30</v>
      </c>
      <c r="E28" s="88"/>
      <c r="F28" s="90"/>
      <c r="G28" s="90"/>
      <c r="H28" s="90"/>
      <c r="I28" s="90"/>
      <c r="J28" s="88"/>
      <c r="K28" s="88"/>
      <c r="L28" s="88"/>
      <c r="M28" s="88"/>
      <c r="N28" s="90"/>
      <c r="O28" s="94"/>
      <c r="P28" s="94"/>
      <c r="Q28" s="90"/>
      <c r="R28" s="88"/>
      <c r="S28" s="102"/>
      <c r="T28" s="102"/>
    </row>
    <row r="29" spans="1:20" hidden="1" x14ac:dyDescent="0.25">
      <c r="A29" s="5">
        <v>45078</v>
      </c>
      <c r="B29" s="87">
        <v>11231.77</v>
      </c>
      <c r="C29" s="87">
        <v>1264.5999999999999</v>
      </c>
      <c r="D29" s="20" t="s">
        <v>29</v>
      </c>
      <c r="E29" s="87" t="s">
        <v>21</v>
      </c>
      <c r="F29" s="89">
        <f>849+768</f>
        <v>1617</v>
      </c>
      <c r="G29" s="89">
        <v>2122.107</v>
      </c>
      <c r="H29" s="89"/>
      <c r="I29" s="89">
        <f t="shared" ref="I29" si="13">F29-G29</f>
        <v>-505.10699999999997</v>
      </c>
      <c r="J29" s="87"/>
      <c r="K29" s="87">
        <v>0</v>
      </c>
      <c r="L29" s="87"/>
      <c r="M29" s="87"/>
      <c r="N29" s="89">
        <v>40.673000000000002</v>
      </c>
      <c r="O29" s="93">
        <f>N29*O4</f>
        <v>860.64068000000009</v>
      </c>
      <c r="P29" s="93">
        <f>N29*P4</f>
        <v>1180.3304600000001</v>
      </c>
      <c r="Q29" s="89">
        <f t="shared" ref="Q29" si="14">N29</f>
        <v>40.673000000000002</v>
      </c>
      <c r="R29" s="87"/>
      <c r="S29" s="101">
        <f>-(Q29*O4)</f>
        <v>-860.64068000000009</v>
      </c>
      <c r="T29" s="101">
        <f>-(Q29*P4)</f>
        <v>-1180.3304600000001</v>
      </c>
    </row>
    <row r="30" spans="1:20" hidden="1" x14ac:dyDescent="0.25">
      <c r="A30" s="5">
        <v>45078</v>
      </c>
      <c r="B30" s="88"/>
      <c r="C30" s="88"/>
      <c r="D30" s="20" t="s">
        <v>30</v>
      </c>
      <c r="E30" s="88"/>
      <c r="F30" s="90"/>
      <c r="G30" s="90"/>
      <c r="H30" s="90"/>
      <c r="I30" s="90"/>
      <c r="J30" s="88"/>
      <c r="K30" s="88"/>
      <c r="L30" s="88"/>
      <c r="M30" s="88"/>
      <c r="N30" s="90"/>
      <c r="O30" s="94"/>
      <c r="P30" s="94"/>
      <c r="Q30" s="90"/>
      <c r="R30" s="88"/>
      <c r="S30" s="102"/>
      <c r="T30" s="102"/>
    </row>
    <row r="31" spans="1:20" hidden="1" x14ac:dyDescent="0.25">
      <c r="A31" s="5">
        <v>45108</v>
      </c>
      <c r="B31" s="87">
        <v>11231.77</v>
      </c>
      <c r="C31" s="87">
        <v>1264.5999999999999</v>
      </c>
      <c r="D31" s="20" t="s">
        <v>29</v>
      </c>
      <c r="E31" s="87" t="s">
        <v>21</v>
      </c>
      <c r="F31" s="89">
        <f>879+654</f>
        <v>1533</v>
      </c>
      <c r="G31" s="89">
        <v>2005.28</v>
      </c>
      <c r="H31" s="89"/>
      <c r="I31" s="89">
        <f t="shared" ref="I31" si="15">F31-G31</f>
        <v>-472.28</v>
      </c>
      <c r="J31" s="87"/>
      <c r="K31" s="87">
        <v>0</v>
      </c>
      <c r="L31" s="87"/>
      <c r="M31" s="87"/>
      <c r="N31" s="89">
        <v>40.673000000000002</v>
      </c>
      <c r="O31" s="93">
        <f>N31*O4</f>
        <v>860.64068000000009</v>
      </c>
      <c r="P31" s="93">
        <f>N31*P4</f>
        <v>1180.3304600000001</v>
      </c>
      <c r="Q31" s="89">
        <f t="shared" ref="Q31" si="16">N31</f>
        <v>40.673000000000002</v>
      </c>
      <c r="R31" s="87"/>
      <c r="S31" s="101">
        <f>-(Q31*O4)</f>
        <v>-860.64068000000009</v>
      </c>
      <c r="T31" s="101">
        <f>-(Q31*P4)</f>
        <v>-1180.3304600000001</v>
      </c>
    </row>
    <row r="32" spans="1:20" hidden="1" x14ac:dyDescent="0.25">
      <c r="A32" s="5">
        <v>45108</v>
      </c>
      <c r="B32" s="88"/>
      <c r="C32" s="88"/>
      <c r="D32" s="20" t="s">
        <v>30</v>
      </c>
      <c r="E32" s="88"/>
      <c r="F32" s="90"/>
      <c r="G32" s="90"/>
      <c r="H32" s="90"/>
      <c r="I32" s="90"/>
      <c r="J32" s="88"/>
      <c r="K32" s="88"/>
      <c r="L32" s="88"/>
      <c r="M32" s="88"/>
      <c r="N32" s="90"/>
      <c r="O32" s="94"/>
      <c r="P32" s="94"/>
      <c r="Q32" s="90"/>
      <c r="R32" s="88"/>
      <c r="S32" s="102"/>
      <c r="T32" s="102"/>
    </row>
    <row r="33" spans="1:20" hidden="1" x14ac:dyDescent="0.25">
      <c r="A33" s="5">
        <v>45139</v>
      </c>
      <c r="B33" s="87">
        <v>11231.77</v>
      </c>
      <c r="C33" s="87">
        <v>1264.5999999999999</v>
      </c>
      <c r="D33" s="20" t="s">
        <v>29</v>
      </c>
      <c r="E33" s="87" t="s">
        <v>21</v>
      </c>
      <c r="F33" s="89">
        <f>1098+850</f>
        <v>1948</v>
      </c>
      <c r="G33" s="89">
        <v>2000.34</v>
      </c>
      <c r="H33" s="89"/>
      <c r="I33" s="89">
        <f t="shared" ref="I33" si="17">F33-G33</f>
        <v>-52.339999999999918</v>
      </c>
      <c r="J33" s="87"/>
      <c r="K33" s="87">
        <v>0</v>
      </c>
      <c r="L33" s="87"/>
      <c r="M33" s="87"/>
      <c r="N33" s="89">
        <v>40.673000000000002</v>
      </c>
      <c r="O33" s="93">
        <f>N33*O4</f>
        <v>860.64068000000009</v>
      </c>
      <c r="P33" s="93">
        <f>N33*P4</f>
        <v>1180.3304600000001</v>
      </c>
      <c r="Q33" s="89">
        <f t="shared" ref="Q33" si="18">N33</f>
        <v>40.673000000000002</v>
      </c>
      <c r="R33" s="87"/>
      <c r="S33" s="101">
        <f>-(Q33*O4)</f>
        <v>-860.64068000000009</v>
      </c>
      <c r="T33" s="101">
        <f>-(Q33*P4)</f>
        <v>-1180.3304600000001</v>
      </c>
    </row>
    <row r="34" spans="1:20" hidden="1" x14ac:dyDescent="0.25">
      <c r="A34" s="5">
        <v>45139</v>
      </c>
      <c r="B34" s="88"/>
      <c r="C34" s="88"/>
      <c r="D34" s="20" t="s">
        <v>30</v>
      </c>
      <c r="E34" s="88"/>
      <c r="F34" s="90"/>
      <c r="G34" s="90"/>
      <c r="H34" s="90"/>
      <c r="I34" s="90"/>
      <c r="J34" s="88"/>
      <c r="K34" s="88"/>
      <c r="L34" s="88"/>
      <c r="M34" s="88"/>
      <c r="N34" s="90"/>
      <c r="O34" s="94"/>
      <c r="P34" s="94"/>
      <c r="Q34" s="90"/>
      <c r="R34" s="88"/>
      <c r="S34" s="102"/>
      <c r="T34" s="102"/>
    </row>
    <row r="35" spans="1:20" hidden="1" x14ac:dyDescent="0.25">
      <c r="A35" s="5">
        <v>45170</v>
      </c>
      <c r="B35" s="87">
        <v>11231.77</v>
      </c>
      <c r="C35" s="87">
        <v>1264.5999999999999</v>
      </c>
      <c r="D35" s="20" t="s">
        <v>29</v>
      </c>
      <c r="E35" s="87" t="s">
        <v>21</v>
      </c>
      <c r="F35" s="89">
        <f>1016+729</f>
        <v>1745</v>
      </c>
      <c r="G35" s="89">
        <v>1981.5340000000001</v>
      </c>
      <c r="H35" s="89"/>
      <c r="I35" s="89">
        <f t="shared" ref="I35" si="19">F35-G35</f>
        <v>-236.53400000000011</v>
      </c>
      <c r="J35" s="87"/>
      <c r="K35" s="87">
        <v>0</v>
      </c>
      <c r="L35" s="87"/>
      <c r="M35" s="87"/>
      <c r="N35" s="89">
        <v>40.673000000000002</v>
      </c>
      <c r="O35" s="93">
        <f>N35*O4</f>
        <v>860.64068000000009</v>
      </c>
      <c r="P35" s="93">
        <f>N35*P4</f>
        <v>1180.3304600000001</v>
      </c>
      <c r="Q35" s="89">
        <f t="shared" ref="Q35" si="20">N35</f>
        <v>40.673000000000002</v>
      </c>
      <c r="R35" s="87"/>
      <c r="S35" s="101">
        <f>-(Q35*O4)</f>
        <v>-860.64068000000009</v>
      </c>
      <c r="T35" s="101">
        <f>-(Q35*P4)</f>
        <v>-1180.3304600000001</v>
      </c>
    </row>
    <row r="36" spans="1:20" hidden="1" x14ac:dyDescent="0.25">
      <c r="A36" s="5">
        <v>45170</v>
      </c>
      <c r="B36" s="88"/>
      <c r="C36" s="88"/>
      <c r="D36" s="20" t="s">
        <v>30</v>
      </c>
      <c r="E36" s="88"/>
      <c r="F36" s="90"/>
      <c r="G36" s="90"/>
      <c r="H36" s="90"/>
      <c r="I36" s="90"/>
      <c r="J36" s="88"/>
      <c r="K36" s="88"/>
      <c r="L36" s="88"/>
      <c r="M36" s="88"/>
      <c r="N36" s="90"/>
      <c r="O36" s="94"/>
      <c r="P36" s="94"/>
      <c r="Q36" s="90"/>
      <c r="R36" s="88"/>
      <c r="S36" s="102"/>
      <c r="T36" s="102"/>
    </row>
    <row r="37" spans="1:20" hidden="1" x14ac:dyDescent="0.25">
      <c r="A37" s="5">
        <v>45200</v>
      </c>
      <c r="B37" s="87">
        <v>11231.77</v>
      </c>
      <c r="C37" s="87">
        <v>1264.5999999999999</v>
      </c>
      <c r="D37" s="20" t="s">
        <v>29</v>
      </c>
      <c r="E37" s="87" t="s">
        <v>21</v>
      </c>
      <c r="F37" s="89">
        <f>1130+857</f>
        <v>1987</v>
      </c>
      <c r="G37" s="89">
        <v>1975.5440000000001</v>
      </c>
      <c r="H37" s="89"/>
      <c r="I37" s="89">
        <f t="shared" ref="I37" si="21">F37-G37</f>
        <v>11.455999999999904</v>
      </c>
      <c r="J37" s="87"/>
      <c r="K37" s="87">
        <v>0</v>
      </c>
      <c r="L37" s="87"/>
      <c r="M37" s="87"/>
      <c r="N37" s="89">
        <v>40.673000000000002</v>
      </c>
      <c r="O37" s="93">
        <f>N37*O4</f>
        <v>860.64068000000009</v>
      </c>
      <c r="P37" s="93">
        <f>N37*P4</f>
        <v>1180.3304600000001</v>
      </c>
      <c r="Q37" s="89">
        <f t="shared" ref="Q37" si="22">N37</f>
        <v>40.673000000000002</v>
      </c>
      <c r="R37" s="87"/>
      <c r="S37" s="101">
        <f>-(Q37*O4)</f>
        <v>-860.64068000000009</v>
      </c>
      <c r="T37" s="101">
        <f>-(Q37*P4)</f>
        <v>-1180.3304600000001</v>
      </c>
    </row>
    <row r="38" spans="1:20" hidden="1" x14ac:dyDescent="0.25">
      <c r="A38" s="5">
        <v>45200</v>
      </c>
      <c r="B38" s="88"/>
      <c r="C38" s="88"/>
      <c r="D38" s="20" t="s">
        <v>30</v>
      </c>
      <c r="E38" s="88"/>
      <c r="F38" s="90"/>
      <c r="G38" s="90"/>
      <c r="H38" s="90"/>
      <c r="I38" s="90"/>
      <c r="J38" s="88"/>
      <c r="K38" s="88"/>
      <c r="L38" s="88"/>
      <c r="M38" s="88"/>
      <c r="N38" s="90"/>
      <c r="O38" s="94"/>
      <c r="P38" s="94"/>
      <c r="Q38" s="90"/>
      <c r="R38" s="88"/>
      <c r="S38" s="102"/>
      <c r="T38" s="102"/>
    </row>
    <row r="39" spans="1:20" hidden="1" x14ac:dyDescent="0.25">
      <c r="A39" s="5">
        <v>45231</v>
      </c>
      <c r="B39" s="87">
        <v>11231.77</v>
      </c>
      <c r="C39" s="87">
        <v>1264.5999999999999</v>
      </c>
      <c r="D39" s="20" t="s">
        <v>29</v>
      </c>
      <c r="E39" s="87" t="s">
        <v>21</v>
      </c>
      <c r="F39" s="89">
        <f>1058+833</f>
        <v>1891</v>
      </c>
      <c r="G39" s="89">
        <v>1985.1659999999999</v>
      </c>
      <c r="H39" s="89"/>
      <c r="I39" s="89">
        <f t="shared" ref="I39" si="23">F39-G39</f>
        <v>-94.16599999999994</v>
      </c>
      <c r="J39" s="87"/>
      <c r="K39" s="87">
        <v>0</v>
      </c>
      <c r="L39" s="87"/>
      <c r="M39" s="87"/>
      <c r="N39" s="89">
        <v>40.673000000000002</v>
      </c>
      <c r="O39" s="93">
        <f>N39*O4</f>
        <v>860.64068000000009</v>
      </c>
      <c r="P39" s="93">
        <f>N39*P4</f>
        <v>1180.3304600000001</v>
      </c>
      <c r="Q39" s="89">
        <f t="shared" ref="Q39" si="24">N39</f>
        <v>40.673000000000002</v>
      </c>
      <c r="R39" s="87"/>
      <c r="S39" s="101">
        <f>-(Q39*O4)</f>
        <v>-860.64068000000009</v>
      </c>
      <c r="T39" s="101">
        <f>-(Q39*P4)</f>
        <v>-1180.3304600000001</v>
      </c>
    </row>
    <row r="40" spans="1:20" hidden="1" x14ac:dyDescent="0.25">
      <c r="A40" s="5">
        <v>45231</v>
      </c>
      <c r="B40" s="88"/>
      <c r="C40" s="88"/>
      <c r="D40" s="20" t="s">
        <v>30</v>
      </c>
      <c r="E40" s="88"/>
      <c r="F40" s="90"/>
      <c r="G40" s="90"/>
      <c r="H40" s="90"/>
      <c r="I40" s="90"/>
      <c r="J40" s="88"/>
      <c r="K40" s="88"/>
      <c r="L40" s="88"/>
      <c r="M40" s="88"/>
      <c r="N40" s="90"/>
      <c r="O40" s="94"/>
      <c r="P40" s="94"/>
      <c r="Q40" s="90"/>
      <c r="R40" s="88"/>
      <c r="S40" s="102"/>
      <c r="T40" s="102"/>
    </row>
    <row r="41" spans="1:20" hidden="1" x14ac:dyDescent="0.25">
      <c r="A41" s="5">
        <v>45261</v>
      </c>
      <c r="B41" s="87">
        <v>11231.77</v>
      </c>
      <c r="C41" s="87">
        <v>1264.5999999999999</v>
      </c>
      <c r="D41" s="20" t="s">
        <v>29</v>
      </c>
      <c r="E41" s="87" t="s">
        <v>21</v>
      </c>
      <c r="F41" s="89">
        <f>969+799</f>
        <v>1768</v>
      </c>
      <c r="G41" s="89">
        <v>1991.0830000000001</v>
      </c>
      <c r="H41" s="89"/>
      <c r="I41" s="89">
        <f t="shared" ref="I41" si="25">F41-G41</f>
        <v>-223.08300000000008</v>
      </c>
      <c r="J41" s="87"/>
      <c r="K41" s="87">
        <v>0</v>
      </c>
      <c r="L41" s="87"/>
      <c r="M41" s="87"/>
      <c r="N41" s="89">
        <v>40.673000000000002</v>
      </c>
      <c r="O41" s="93">
        <f>N41*O4</f>
        <v>860.64068000000009</v>
      </c>
      <c r="P41" s="93">
        <f>N41*P4</f>
        <v>1180.3304600000001</v>
      </c>
      <c r="Q41" s="89">
        <f t="shared" ref="Q41" si="26">N41</f>
        <v>40.673000000000002</v>
      </c>
      <c r="R41" s="87"/>
      <c r="S41" s="101">
        <f>-(Q41*O4)</f>
        <v>-860.64068000000009</v>
      </c>
      <c r="T41" s="101">
        <f>-(Q41*P4)</f>
        <v>-1180.3304600000001</v>
      </c>
    </row>
    <row r="42" spans="1:20" hidden="1" x14ac:dyDescent="0.25">
      <c r="A42" s="5">
        <v>45261</v>
      </c>
      <c r="B42" s="88"/>
      <c r="C42" s="88"/>
      <c r="D42" s="20" t="s">
        <v>30</v>
      </c>
      <c r="E42" s="88"/>
      <c r="F42" s="90"/>
      <c r="G42" s="90"/>
      <c r="H42" s="90"/>
      <c r="I42" s="90"/>
      <c r="J42" s="88"/>
      <c r="K42" s="88"/>
      <c r="L42" s="88"/>
      <c r="M42" s="88"/>
      <c r="N42" s="90"/>
      <c r="O42" s="94"/>
      <c r="P42" s="94"/>
      <c r="Q42" s="90"/>
      <c r="R42" s="88"/>
      <c r="S42" s="102"/>
      <c r="T42" s="102"/>
    </row>
    <row r="43" spans="1:20" hidden="1" x14ac:dyDescent="0.25">
      <c r="B43" s="1"/>
      <c r="C43" s="1"/>
      <c r="N43" s="38" t="s">
        <v>46</v>
      </c>
      <c r="O43" s="39">
        <f>SUM(O19:O42)</f>
        <v>10327.688160000003</v>
      </c>
      <c r="P43" s="39">
        <f>SUM(P19:P42)</f>
        <v>14163.965520000005</v>
      </c>
      <c r="Q43" s="41"/>
      <c r="R43" s="41"/>
      <c r="S43" s="39">
        <f>SUM(S19:S42)</f>
        <v>-10327.688160000003</v>
      </c>
      <c r="T43" s="39">
        <f>SUM(T19:T42)</f>
        <v>-14163.965520000005</v>
      </c>
    </row>
    <row r="44" spans="1:20" hidden="1" x14ac:dyDescent="0.25">
      <c r="B44" s="1"/>
      <c r="C44" s="1"/>
      <c r="N44" s="41"/>
      <c r="O44" s="41"/>
      <c r="P44" s="41"/>
      <c r="Q44" s="41"/>
      <c r="R44" s="41" t="s">
        <v>41</v>
      </c>
      <c r="T44" s="41"/>
    </row>
    <row r="45" spans="1:20" hidden="1" x14ac:dyDescent="0.25">
      <c r="B45" s="1"/>
      <c r="C45" s="1"/>
      <c r="N45" s="41"/>
      <c r="O45" s="41"/>
      <c r="P45" s="41"/>
      <c r="Q45" s="41"/>
      <c r="R45" s="41"/>
      <c r="S45" s="41"/>
      <c r="T45" s="42">
        <f>T43+S43</f>
        <v>-24491.65368000001</v>
      </c>
    </row>
    <row r="46" spans="1:20" hidden="1" x14ac:dyDescent="0.25"/>
    <row r="47" spans="1:20" hidden="1" x14ac:dyDescent="0.25"/>
    <row r="48" spans="1:20" hidden="1" x14ac:dyDescent="0.25"/>
    <row r="49" spans="1:20" hidden="1" x14ac:dyDescent="0.25"/>
    <row r="50" spans="1:20" x14ac:dyDescent="0.25">
      <c r="A50" s="5">
        <v>45292</v>
      </c>
      <c r="B50" s="87">
        <v>11231.77</v>
      </c>
      <c r="C50" s="87">
        <v>1264.5999999999999</v>
      </c>
      <c r="D50" s="20" t="s">
        <v>29</v>
      </c>
      <c r="E50" s="87" t="s">
        <v>21</v>
      </c>
      <c r="F50" s="89">
        <f>1119+933</f>
        <v>2052</v>
      </c>
      <c r="G50" s="89">
        <v>2066.12</v>
      </c>
      <c r="H50" s="89"/>
      <c r="I50" s="89">
        <f t="shared" ref="I50" si="27">F50-G50</f>
        <v>-14.119999999999891</v>
      </c>
      <c r="J50" s="87"/>
      <c r="K50" s="87">
        <v>0</v>
      </c>
      <c r="L50" s="87"/>
      <c r="M50" s="87"/>
      <c r="N50" s="89">
        <v>40.673000000000002</v>
      </c>
      <c r="O50" s="91">
        <f>N50*Q3</f>
        <v>860.64068000000009</v>
      </c>
      <c r="P50" s="91">
        <f>N50*R3</f>
        <v>1180.3304600000001</v>
      </c>
      <c r="Q50" s="109"/>
      <c r="R50" s="109"/>
      <c r="S50" s="95">
        <f>-(N50*Q3)</f>
        <v>-860.64068000000009</v>
      </c>
      <c r="T50" s="95">
        <f>-(N50*R3)</f>
        <v>-1180.3304600000001</v>
      </c>
    </row>
    <row r="51" spans="1:20" x14ac:dyDescent="0.25">
      <c r="A51" s="5">
        <v>45292</v>
      </c>
      <c r="B51" s="88"/>
      <c r="C51" s="88"/>
      <c r="D51" s="20" t="s">
        <v>30</v>
      </c>
      <c r="E51" s="88"/>
      <c r="F51" s="90"/>
      <c r="G51" s="90"/>
      <c r="H51" s="90"/>
      <c r="I51" s="90"/>
      <c r="J51" s="88"/>
      <c r="K51" s="88"/>
      <c r="L51" s="88"/>
      <c r="M51" s="88"/>
      <c r="N51" s="90"/>
      <c r="O51" s="92"/>
      <c r="P51" s="92"/>
      <c r="Q51" s="110"/>
      <c r="R51" s="110"/>
      <c r="S51" s="96"/>
      <c r="T51" s="96"/>
    </row>
    <row r="52" spans="1:20" x14ac:dyDescent="0.25">
      <c r="A52" s="5">
        <v>45323</v>
      </c>
      <c r="B52" s="87">
        <v>11231.77</v>
      </c>
      <c r="C52" s="87">
        <v>1264.5999999999999</v>
      </c>
      <c r="D52" s="20" t="s">
        <v>29</v>
      </c>
      <c r="E52" s="87" t="s">
        <v>21</v>
      </c>
      <c r="F52" s="89">
        <f>802+695</f>
        <v>1497</v>
      </c>
      <c r="G52" s="89">
        <v>791.32299999999998</v>
      </c>
      <c r="H52" s="89"/>
      <c r="I52" s="89">
        <f t="shared" ref="I52" si="28">F52-G52</f>
        <v>705.67700000000002</v>
      </c>
      <c r="J52" s="87"/>
      <c r="K52" s="87">
        <v>0</v>
      </c>
      <c r="L52" s="87"/>
      <c r="M52" s="87"/>
      <c r="N52" s="89">
        <v>40.673000000000002</v>
      </c>
      <c r="O52" s="91">
        <f>N52*Q3</f>
        <v>860.64068000000009</v>
      </c>
      <c r="P52" s="91">
        <f>N52*R3</f>
        <v>1180.3304600000001</v>
      </c>
      <c r="Q52" s="97"/>
      <c r="R52" s="99"/>
      <c r="S52" s="95">
        <f>-(N52*Q3)</f>
        <v>-860.64068000000009</v>
      </c>
      <c r="T52" s="95">
        <f>-(N52*R3)</f>
        <v>-1180.3304600000001</v>
      </c>
    </row>
    <row r="53" spans="1:20" x14ac:dyDescent="0.25">
      <c r="A53" s="5">
        <v>45323</v>
      </c>
      <c r="B53" s="88"/>
      <c r="C53" s="88"/>
      <c r="D53" s="20" t="s">
        <v>30</v>
      </c>
      <c r="E53" s="88"/>
      <c r="F53" s="90"/>
      <c r="G53" s="90"/>
      <c r="H53" s="90"/>
      <c r="I53" s="90"/>
      <c r="J53" s="88"/>
      <c r="K53" s="88"/>
      <c r="L53" s="88"/>
      <c r="M53" s="88"/>
      <c r="N53" s="90"/>
      <c r="O53" s="92"/>
      <c r="P53" s="92"/>
      <c r="Q53" s="98"/>
      <c r="R53" s="100"/>
      <c r="S53" s="96"/>
      <c r="T53" s="96"/>
    </row>
    <row r="54" spans="1:20" x14ac:dyDescent="0.25">
      <c r="A54" s="5">
        <v>45352</v>
      </c>
      <c r="B54" s="87">
        <v>11231.77</v>
      </c>
      <c r="C54" s="87">
        <v>1264.5999999999999</v>
      </c>
      <c r="D54" s="20" t="s">
        <v>29</v>
      </c>
      <c r="E54" s="87" t="s">
        <v>21</v>
      </c>
      <c r="F54" s="89">
        <f>810+741</f>
        <v>1551</v>
      </c>
      <c r="G54" s="89">
        <v>755.66</v>
      </c>
      <c r="H54" s="89"/>
      <c r="I54" s="89">
        <f>F54-G54</f>
        <v>795.34</v>
      </c>
      <c r="J54" s="87"/>
      <c r="K54" s="87">
        <v>0</v>
      </c>
      <c r="L54" s="87"/>
      <c r="M54" s="87"/>
      <c r="N54" s="89">
        <v>40.673000000000002</v>
      </c>
      <c r="O54" s="91">
        <f>N54*Q3</f>
        <v>860.64068000000009</v>
      </c>
      <c r="P54" s="91">
        <f>N54*R3</f>
        <v>1180.3304600000001</v>
      </c>
      <c r="Q54" s="97"/>
      <c r="R54" s="99"/>
      <c r="S54" s="95">
        <f>-(N54*Q3)</f>
        <v>-860.64068000000009</v>
      </c>
      <c r="T54" s="95">
        <f>-(N54*R3)</f>
        <v>-1180.3304600000001</v>
      </c>
    </row>
    <row r="55" spans="1:20" x14ac:dyDescent="0.25">
      <c r="A55" s="5">
        <v>45352</v>
      </c>
      <c r="B55" s="88"/>
      <c r="C55" s="88"/>
      <c r="D55" s="20" t="s">
        <v>30</v>
      </c>
      <c r="E55" s="88"/>
      <c r="F55" s="90"/>
      <c r="G55" s="90"/>
      <c r="H55" s="90"/>
      <c r="I55" s="90"/>
      <c r="J55" s="88"/>
      <c r="K55" s="88"/>
      <c r="L55" s="88"/>
      <c r="M55" s="88"/>
      <c r="N55" s="90"/>
      <c r="O55" s="92"/>
      <c r="P55" s="92"/>
      <c r="Q55" s="98"/>
      <c r="R55" s="100"/>
      <c r="S55" s="96"/>
      <c r="T55" s="96"/>
    </row>
    <row r="56" spans="1:20" x14ac:dyDescent="0.25">
      <c r="A56" s="5">
        <v>45383</v>
      </c>
      <c r="B56" s="87">
        <v>11231.77</v>
      </c>
      <c r="C56" s="87">
        <v>1264.5999999999999</v>
      </c>
      <c r="D56" s="20" t="s">
        <v>29</v>
      </c>
      <c r="E56" s="87" t="s">
        <v>21</v>
      </c>
      <c r="F56" s="89">
        <f>1031+867</f>
        <v>1898</v>
      </c>
      <c r="G56" s="89">
        <v>2092.223</v>
      </c>
      <c r="H56" s="89"/>
      <c r="I56" s="89">
        <f>F56-G56</f>
        <v>-194.22299999999996</v>
      </c>
      <c r="J56" s="87"/>
      <c r="K56" s="87">
        <v>0</v>
      </c>
      <c r="L56" s="87"/>
      <c r="M56" s="87"/>
      <c r="N56" s="89">
        <v>40.673000000000002</v>
      </c>
      <c r="O56" s="91">
        <f>N56*Q3</f>
        <v>860.64068000000009</v>
      </c>
      <c r="P56" s="91">
        <f>N56*R3</f>
        <v>1180.3304600000001</v>
      </c>
      <c r="Q56" s="97"/>
      <c r="R56" s="99"/>
      <c r="S56" s="95">
        <f>-(N56*Q3)</f>
        <v>-860.64068000000009</v>
      </c>
      <c r="T56" s="95">
        <f>-(N56*R3)</f>
        <v>-1180.3304600000001</v>
      </c>
    </row>
    <row r="57" spans="1:20" x14ac:dyDescent="0.25">
      <c r="A57" s="5">
        <v>45383</v>
      </c>
      <c r="B57" s="88"/>
      <c r="C57" s="88"/>
      <c r="D57" s="20" t="s">
        <v>30</v>
      </c>
      <c r="E57" s="88"/>
      <c r="F57" s="90"/>
      <c r="G57" s="90"/>
      <c r="H57" s="90"/>
      <c r="I57" s="90"/>
      <c r="J57" s="88"/>
      <c r="K57" s="88"/>
      <c r="L57" s="88"/>
      <c r="M57" s="88"/>
      <c r="N57" s="90"/>
      <c r="O57" s="92"/>
      <c r="P57" s="92"/>
      <c r="Q57" s="98"/>
      <c r="R57" s="100"/>
      <c r="S57" s="96"/>
      <c r="T57" s="96"/>
    </row>
    <row r="58" spans="1:20" x14ac:dyDescent="0.25">
      <c r="A58" s="5">
        <v>45413</v>
      </c>
      <c r="B58" s="87">
        <v>11231.77</v>
      </c>
      <c r="C58" s="87">
        <v>1264.5999999999999</v>
      </c>
      <c r="D58" s="20" t="s">
        <v>29</v>
      </c>
      <c r="E58" s="87" t="s">
        <v>21</v>
      </c>
      <c r="F58" s="89">
        <f>961+699</f>
        <v>1660</v>
      </c>
      <c r="G58" s="89">
        <v>2100.2660000000001</v>
      </c>
      <c r="H58" s="89"/>
      <c r="I58" s="89">
        <f>F58-G58</f>
        <v>-440.26600000000008</v>
      </c>
      <c r="J58" s="87"/>
      <c r="K58" s="87">
        <v>0</v>
      </c>
      <c r="L58" s="87"/>
      <c r="M58" s="87"/>
      <c r="N58" s="89">
        <v>40.673000000000002</v>
      </c>
      <c r="O58" s="91">
        <f>N58*Q3</f>
        <v>860.64068000000009</v>
      </c>
      <c r="P58" s="91">
        <f>N58*R3</f>
        <v>1180.3304600000001</v>
      </c>
      <c r="Q58" s="97"/>
      <c r="R58" s="99"/>
      <c r="S58" s="95">
        <f>-(N58*Q3)</f>
        <v>-860.64068000000009</v>
      </c>
      <c r="T58" s="95">
        <f>-(N58*R3)</f>
        <v>-1180.3304600000001</v>
      </c>
    </row>
    <row r="59" spans="1:20" x14ac:dyDescent="0.25">
      <c r="A59" s="5">
        <v>45413</v>
      </c>
      <c r="B59" s="88"/>
      <c r="C59" s="88"/>
      <c r="D59" s="20" t="s">
        <v>30</v>
      </c>
      <c r="E59" s="88"/>
      <c r="F59" s="90"/>
      <c r="G59" s="90"/>
      <c r="H59" s="90"/>
      <c r="I59" s="90"/>
      <c r="J59" s="88"/>
      <c r="K59" s="88"/>
      <c r="L59" s="88"/>
      <c r="M59" s="88"/>
      <c r="N59" s="90"/>
      <c r="O59" s="92"/>
      <c r="P59" s="92"/>
      <c r="Q59" s="98"/>
      <c r="R59" s="100"/>
      <c r="S59" s="96"/>
      <c r="T59" s="96"/>
    </row>
    <row r="60" spans="1:20" x14ac:dyDescent="0.25">
      <c r="A60" s="5">
        <v>45444</v>
      </c>
      <c r="B60" s="87">
        <v>11231.77</v>
      </c>
      <c r="C60" s="87">
        <v>1264.5999999999999</v>
      </c>
      <c r="D60" s="20" t="s">
        <v>29</v>
      </c>
      <c r="E60" s="87" t="s">
        <v>21</v>
      </c>
      <c r="F60" s="89">
        <f>886+879</f>
        <v>1765</v>
      </c>
      <c r="G60" s="89">
        <v>2022.7739999999999</v>
      </c>
      <c r="H60" s="89"/>
      <c r="I60" s="89">
        <f>F60-G60</f>
        <v>-257.77399999999989</v>
      </c>
      <c r="J60" s="87"/>
      <c r="K60" s="87">
        <v>0</v>
      </c>
      <c r="L60" s="87"/>
      <c r="M60" s="87"/>
      <c r="N60" s="89">
        <v>40.673000000000002</v>
      </c>
      <c r="O60" s="91">
        <f>N60*Q3</f>
        <v>860.64068000000009</v>
      </c>
      <c r="P60" s="91">
        <f>N60*R3</f>
        <v>1180.3304600000001</v>
      </c>
      <c r="Q60" s="97"/>
      <c r="R60" s="99"/>
      <c r="S60" s="95">
        <f>-(N60*Q3)</f>
        <v>-860.64068000000009</v>
      </c>
      <c r="T60" s="95">
        <f>-(N60*R3)</f>
        <v>-1180.3304600000001</v>
      </c>
    </row>
    <row r="61" spans="1:20" x14ac:dyDescent="0.25">
      <c r="A61" s="5">
        <v>45444</v>
      </c>
      <c r="B61" s="88"/>
      <c r="C61" s="88"/>
      <c r="D61" s="20" t="s">
        <v>30</v>
      </c>
      <c r="E61" s="88"/>
      <c r="F61" s="90"/>
      <c r="G61" s="90"/>
      <c r="H61" s="90"/>
      <c r="I61" s="90"/>
      <c r="J61" s="88"/>
      <c r="K61" s="88"/>
      <c r="L61" s="88"/>
      <c r="M61" s="88"/>
      <c r="N61" s="90"/>
      <c r="O61" s="92"/>
      <c r="P61" s="92"/>
      <c r="Q61" s="98"/>
      <c r="R61" s="100"/>
      <c r="S61" s="96"/>
      <c r="T61" s="96"/>
    </row>
    <row r="62" spans="1:20" x14ac:dyDescent="0.25">
      <c r="A62" s="5">
        <v>45474</v>
      </c>
      <c r="B62" s="87">
        <v>11231.77</v>
      </c>
      <c r="C62" s="87">
        <v>1264.5999999999999</v>
      </c>
      <c r="D62" s="20" t="s">
        <v>29</v>
      </c>
      <c r="E62" s="87" t="s">
        <v>21</v>
      </c>
      <c r="F62" s="89">
        <f>1025+733</f>
        <v>1758</v>
      </c>
      <c r="G62" s="89">
        <v>2015.1310000000001</v>
      </c>
      <c r="H62" s="89"/>
      <c r="I62" s="89">
        <f>F62-G62</f>
        <v>-257.13100000000009</v>
      </c>
      <c r="J62" s="87"/>
      <c r="K62" s="87">
        <v>0</v>
      </c>
      <c r="L62" s="87"/>
      <c r="M62" s="87"/>
      <c r="N62" s="89">
        <v>40.673000000000002</v>
      </c>
      <c r="O62" s="91">
        <f>N62*Q4</f>
        <v>954.18858000000012</v>
      </c>
      <c r="P62" s="93">
        <f>N62*R4</f>
        <v>1261.2697300000002</v>
      </c>
      <c r="Q62" s="89"/>
      <c r="R62" s="87"/>
      <c r="S62" s="95">
        <f>-(N62*Q4)</f>
        <v>-954.18858000000012</v>
      </c>
      <c r="T62" s="95">
        <f>-(N62*R4)</f>
        <v>-1261.2697300000002</v>
      </c>
    </row>
    <row r="63" spans="1:20" x14ac:dyDescent="0.25">
      <c r="A63" s="5">
        <v>45108</v>
      </c>
      <c r="B63" s="88"/>
      <c r="C63" s="88"/>
      <c r="D63" s="20" t="s">
        <v>30</v>
      </c>
      <c r="E63" s="88"/>
      <c r="F63" s="90"/>
      <c r="G63" s="90"/>
      <c r="H63" s="90"/>
      <c r="I63" s="90"/>
      <c r="J63" s="88"/>
      <c r="K63" s="88"/>
      <c r="L63" s="88"/>
      <c r="M63" s="88"/>
      <c r="N63" s="90"/>
      <c r="O63" s="92"/>
      <c r="P63" s="94"/>
      <c r="Q63" s="90"/>
      <c r="R63" s="88"/>
      <c r="S63" s="96"/>
      <c r="T63" s="96"/>
    </row>
    <row r="64" spans="1:20" x14ac:dyDescent="0.25">
      <c r="A64" s="5">
        <v>45505</v>
      </c>
      <c r="B64" s="87">
        <v>11231.77</v>
      </c>
      <c r="C64" s="87">
        <v>1264.5999999999999</v>
      </c>
      <c r="D64" s="20" t="s">
        <v>29</v>
      </c>
      <c r="E64" s="87" t="s">
        <v>21</v>
      </c>
      <c r="F64" s="89">
        <f>1094+768</f>
        <v>1862</v>
      </c>
      <c r="G64" s="89">
        <v>2124.5720000000001</v>
      </c>
      <c r="H64" s="89"/>
      <c r="I64" s="89">
        <f>F64-G64</f>
        <v>-262.57200000000012</v>
      </c>
      <c r="J64" s="87"/>
      <c r="K64" s="87">
        <v>0</v>
      </c>
      <c r="L64" s="87"/>
      <c r="M64" s="87"/>
      <c r="N64" s="89">
        <v>40.673000000000002</v>
      </c>
      <c r="O64" s="91">
        <f>N64*Q4</f>
        <v>954.18858000000012</v>
      </c>
      <c r="P64" s="93">
        <f>N64*R4</f>
        <v>1261.2697300000002</v>
      </c>
      <c r="Q64" s="89"/>
      <c r="R64" s="87"/>
      <c r="S64" s="95">
        <f>-(N64*Q4)</f>
        <v>-954.18858000000012</v>
      </c>
      <c r="T64" s="95">
        <f>-(N64*R4)</f>
        <v>-1261.2697300000002</v>
      </c>
    </row>
    <row r="65" spans="1:20" x14ac:dyDescent="0.25">
      <c r="A65" s="5">
        <v>45139</v>
      </c>
      <c r="B65" s="88"/>
      <c r="C65" s="88"/>
      <c r="D65" s="20" t="s">
        <v>30</v>
      </c>
      <c r="E65" s="88"/>
      <c r="F65" s="90"/>
      <c r="G65" s="90"/>
      <c r="H65" s="90"/>
      <c r="I65" s="90"/>
      <c r="J65" s="88"/>
      <c r="K65" s="88"/>
      <c r="L65" s="88"/>
      <c r="M65" s="88"/>
      <c r="N65" s="90"/>
      <c r="O65" s="92"/>
      <c r="P65" s="94"/>
      <c r="Q65" s="90"/>
      <c r="R65" s="88"/>
      <c r="S65" s="96"/>
      <c r="T65" s="96"/>
    </row>
    <row r="66" spans="1:20" x14ac:dyDescent="0.25">
      <c r="A66" s="5">
        <v>45536</v>
      </c>
      <c r="B66" s="87">
        <v>11231.77</v>
      </c>
      <c r="C66" s="87">
        <v>1264.5999999999999</v>
      </c>
      <c r="D66" s="20" t="s">
        <v>29</v>
      </c>
      <c r="E66" s="87" t="s">
        <v>21</v>
      </c>
      <c r="F66" s="89">
        <f>1089+731</f>
        <v>1820</v>
      </c>
      <c r="G66" s="89">
        <v>2087.8110000000001</v>
      </c>
      <c r="H66" s="89"/>
      <c r="I66" s="89">
        <f>F66-G66</f>
        <v>-267.81100000000015</v>
      </c>
      <c r="J66" s="87"/>
      <c r="K66" s="87">
        <v>0</v>
      </c>
      <c r="L66" s="87"/>
      <c r="M66" s="87"/>
      <c r="N66" s="89">
        <v>40.673000000000002</v>
      </c>
      <c r="O66" s="91">
        <f>N66*Q4</f>
        <v>954.18858000000012</v>
      </c>
      <c r="P66" s="93">
        <f>N66*R4</f>
        <v>1261.2697300000002</v>
      </c>
      <c r="Q66" s="89"/>
      <c r="R66" s="87"/>
      <c r="S66" s="95">
        <f>-(N66*Q4)</f>
        <v>-954.18858000000012</v>
      </c>
      <c r="T66" s="95">
        <f>-(N66*R4)</f>
        <v>-1261.2697300000002</v>
      </c>
    </row>
    <row r="67" spans="1:20" x14ac:dyDescent="0.25">
      <c r="A67" s="5">
        <v>45170</v>
      </c>
      <c r="B67" s="88"/>
      <c r="C67" s="88"/>
      <c r="D67" s="20" t="s">
        <v>30</v>
      </c>
      <c r="E67" s="88"/>
      <c r="F67" s="90"/>
      <c r="G67" s="90"/>
      <c r="H67" s="90"/>
      <c r="I67" s="90"/>
      <c r="J67" s="88"/>
      <c r="K67" s="88"/>
      <c r="L67" s="88"/>
      <c r="M67" s="88"/>
      <c r="N67" s="90"/>
      <c r="O67" s="92"/>
      <c r="P67" s="94"/>
      <c r="Q67" s="90"/>
      <c r="R67" s="88"/>
      <c r="S67" s="96"/>
      <c r="T67" s="96"/>
    </row>
    <row r="68" spans="1:20" x14ac:dyDescent="0.25">
      <c r="A68" s="5">
        <v>45566</v>
      </c>
      <c r="B68" s="87">
        <v>11231.77</v>
      </c>
      <c r="C68" s="87">
        <v>1264.5999999999999</v>
      </c>
      <c r="D68" s="20" t="s">
        <v>29</v>
      </c>
      <c r="E68" s="87" t="s">
        <v>21</v>
      </c>
      <c r="F68" s="89">
        <f>1023+742</f>
        <v>1765</v>
      </c>
      <c r="G68" s="89">
        <v>2053.2469999999998</v>
      </c>
      <c r="H68" s="89"/>
      <c r="I68" s="89">
        <f>F68-G68</f>
        <v>-288.24699999999984</v>
      </c>
      <c r="J68" s="87"/>
      <c r="K68" s="87">
        <v>0</v>
      </c>
      <c r="L68" s="87"/>
      <c r="M68" s="87"/>
      <c r="N68" s="89">
        <v>40.673000000000002</v>
      </c>
      <c r="O68" s="91">
        <f>N68*Q4</f>
        <v>954.18858000000012</v>
      </c>
      <c r="P68" s="93">
        <f>N68*R4</f>
        <v>1261.2697300000002</v>
      </c>
      <c r="Q68" s="89"/>
      <c r="R68" s="87"/>
      <c r="S68" s="95">
        <f>-(N68*Q4)</f>
        <v>-954.18858000000012</v>
      </c>
      <c r="T68" s="95">
        <f>-(N68*R4)</f>
        <v>-1261.2697300000002</v>
      </c>
    </row>
    <row r="69" spans="1:20" x14ac:dyDescent="0.25">
      <c r="A69" s="5">
        <v>45566</v>
      </c>
      <c r="B69" s="88"/>
      <c r="C69" s="88"/>
      <c r="D69" s="20" t="s">
        <v>30</v>
      </c>
      <c r="E69" s="88"/>
      <c r="F69" s="90"/>
      <c r="G69" s="90"/>
      <c r="H69" s="90"/>
      <c r="I69" s="90"/>
      <c r="J69" s="88"/>
      <c r="K69" s="88"/>
      <c r="L69" s="88"/>
      <c r="M69" s="88"/>
      <c r="N69" s="90"/>
      <c r="O69" s="92"/>
      <c r="P69" s="94"/>
      <c r="Q69" s="90"/>
      <c r="R69" s="88"/>
      <c r="S69" s="96"/>
      <c r="T69" s="96"/>
    </row>
    <row r="70" spans="1:20" x14ac:dyDescent="0.25">
      <c r="A70" s="5">
        <v>45597</v>
      </c>
      <c r="B70" s="87">
        <v>11231.77</v>
      </c>
      <c r="C70" s="87">
        <v>1264.5999999999999</v>
      </c>
      <c r="D70" s="20" t="s">
        <v>29</v>
      </c>
      <c r="E70" s="87" t="s">
        <v>21</v>
      </c>
      <c r="F70" s="89">
        <f>1072+758</f>
        <v>1830</v>
      </c>
      <c r="G70" s="89">
        <v>2059.5230000000001</v>
      </c>
      <c r="H70" s="89"/>
      <c r="I70" s="89">
        <f>F70-G70</f>
        <v>-229.52300000000014</v>
      </c>
      <c r="J70" s="87"/>
      <c r="K70" s="87">
        <v>0</v>
      </c>
      <c r="L70" s="87"/>
      <c r="M70" s="87"/>
      <c r="N70" s="89">
        <v>40.673000000000002</v>
      </c>
      <c r="O70" s="91">
        <f>N70*Q4</f>
        <v>954.18858000000012</v>
      </c>
      <c r="P70" s="93">
        <f>N70*R4</f>
        <v>1261.2697300000002</v>
      </c>
      <c r="Q70" s="89"/>
      <c r="R70" s="87"/>
      <c r="S70" s="95">
        <f>-(N70*Q4)</f>
        <v>-954.18858000000012</v>
      </c>
      <c r="T70" s="95">
        <f>-(N70*R4)</f>
        <v>-1261.2697300000002</v>
      </c>
    </row>
    <row r="71" spans="1:20" x14ac:dyDescent="0.25">
      <c r="A71" s="5">
        <v>45597</v>
      </c>
      <c r="B71" s="88"/>
      <c r="C71" s="88"/>
      <c r="D71" s="20" t="s">
        <v>30</v>
      </c>
      <c r="E71" s="88"/>
      <c r="F71" s="90"/>
      <c r="G71" s="90"/>
      <c r="H71" s="90"/>
      <c r="I71" s="90"/>
      <c r="J71" s="88"/>
      <c r="K71" s="88"/>
      <c r="L71" s="88"/>
      <c r="M71" s="88"/>
      <c r="N71" s="90"/>
      <c r="O71" s="92"/>
      <c r="P71" s="94"/>
      <c r="Q71" s="90"/>
      <c r="R71" s="88"/>
      <c r="S71" s="96"/>
      <c r="T71" s="96"/>
    </row>
    <row r="72" spans="1:20" x14ac:dyDescent="0.25">
      <c r="A72" s="5">
        <v>45627</v>
      </c>
      <c r="B72" s="87">
        <v>11231.77</v>
      </c>
      <c r="C72" s="87">
        <v>1264.5999999999999</v>
      </c>
      <c r="D72" s="20" t="s">
        <v>29</v>
      </c>
      <c r="E72" s="87" t="s">
        <v>21</v>
      </c>
      <c r="F72" s="89">
        <f>1057+714</f>
        <v>1771</v>
      </c>
      <c r="G72" s="89">
        <v>2090.6480000000001</v>
      </c>
      <c r="H72" s="89"/>
      <c r="I72" s="89">
        <f>F72-G72</f>
        <v>-319.64800000000014</v>
      </c>
      <c r="J72" s="87"/>
      <c r="K72" s="87">
        <v>0</v>
      </c>
      <c r="L72" s="87"/>
      <c r="M72" s="87"/>
      <c r="N72" s="89">
        <v>40.673000000000002</v>
      </c>
      <c r="O72" s="91">
        <f>N72*Q4</f>
        <v>954.18858000000012</v>
      </c>
      <c r="P72" s="93">
        <f>N72*R4</f>
        <v>1261.2697300000002</v>
      </c>
      <c r="Q72" s="89"/>
      <c r="R72" s="87"/>
      <c r="S72" s="95">
        <f>-(N72*Q4)</f>
        <v>-954.18858000000012</v>
      </c>
      <c r="T72" s="95">
        <f>-(N72*R4)</f>
        <v>-1261.2697300000002</v>
      </c>
    </row>
    <row r="73" spans="1:20" x14ac:dyDescent="0.25">
      <c r="A73" s="5">
        <v>45627</v>
      </c>
      <c r="B73" s="88"/>
      <c r="C73" s="88"/>
      <c r="D73" s="20" t="s">
        <v>30</v>
      </c>
      <c r="E73" s="88"/>
      <c r="F73" s="90"/>
      <c r="G73" s="90"/>
      <c r="H73" s="90"/>
      <c r="I73" s="90"/>
      <c r="J73" s="88"/>
      <c r="K73" s="88"/>
      <c r="L73" s="88"/>
      <c r="M73" s="88"/>
      <c r="N73" s="90"/>
      <c r="O73" s="92"/>
      <c r="P73" s="94"/>
      <c r="Q73" s="90"/>
      <c r="R73" s="88"/>
      <c r="S73" s="96"/>
      <c r="T73" s="96"/>
    </row>
    <row r="74" spans="1:20" x14ac:dyDescent="0.25">
      <c r="N74" s="62">
        <f>SUM(N50:N73)</f>
        <v>488.07600000000002</v>
      </c>
      <c r="S74" s="51">
        <f>SUM(S50:S73)</f>
        <v>-10888.975560000001</v>
      </c>
      <c r="T74" s="51">
        <f>SUM(T50:T73)</f>
        <v>-14649.601140000001</v>
      </c>
    </row>
    <row r="75" spans="1:20" x14ac:dyDescent="0.25">
      <c r="N75">
        <f>N74/2</f>
        <v>244.03800000000001</v>
      </c>
      <c r="R75" s="41" t="s">
        <v>41</v>
      </c>
      <c r="T75" s="41"/>
    </row>
    <row r="76" spans="1:20" x14ac:dyDescent="0.25">
      <c r="N76">
        <f>N74/2</f>
        <v>244.03800000000001</v>
      </c>
      <c r="R76" s="41"/>
      <c r="S76" s="41"/>
      <c r="T76" s="42">
        <f>S74+T74</f>
        <v>-25538.576700000001</v>
      </c>
    </row>
  </sheetData>
  <sheetProtection algorithmName="SHA-512" hashValue="EOFc0i2DsXaNfpJwRszFZFKHmVRBq1YM3CSM1zM8hTe8/g6+q2rtJnjYhm8rRtKDbrIG9uQzWcGsvJLdOUR5BQ==" saltValue="RdugyeTckMT+0j7Nubhfkg==" spinCount="100000" sheet="1" formatCells="0" formatColumns="0" formatRows="0" insertColumns="0" insertRows="0" insertHyperlinks="0" deleteColumns="0" deleteRows="0" sort="0" autoFilter="0" pivotTables="0"/>
  <mergeCells count="525">
    <mergeCell ref="O50:O51"/>
    <mergeCell ref="P50:P51"/>
    <mergeCell ref="Q50:Q51"/>
    <mergeCell ref="R50:R51"/>
    <mergeCell ref="S50:S51"/>
    <mergeCell ref="T50:T51"/>
    <mergeCell ref="S8:S9"/>
    <mergeCell ref="S10:S11"/>
    <mergeCell ref="S12:S13"/>
    <mergeCell ref="S14:S15"/>
    <mergeCell ref="R8:R9"/>
    <mergeCell ref="R14:R15"/>
    <mergeCell ref="R12:R13"/>
    <mergeCell ref="P19:P20"/>
    <mergeCell ref="Q19:Q20"/>
    <mergeCell ref="P21:P22"/>
    <mergeCell ref="Q21:Q22"/>
    <mergeCell ref="R21:R22"/>
    <mergeCell ref="S21:S22"/>
    <mergeCell ref="T21:T22"/>
    <mergeCell ref="R19:R20"/>
    <mergeCell ref="S19:S20"/>
    <mergeCell ref="T19:T20"/>
    <mergeCell ref="P25:P26"/>
    <mergeCell ref="A1:P1"/>
    <mergeCell ref="L14:L15"/>
    <mergeCell ref="M14:M15"/>
    <mergeCell ref="N14:N15"/>
    <mergeCell ref="O14:O15"/>
    <mergeCell ref="J8:K9"/>
    <mergeCell ref="O10:O11"/>
    <mergeCell ref="H10:H11"/>
    <mergeCell ref="N10:N11"/>
    <mergeCell ref="L10:L11"/>
    <mergeCell ref="M10:M11"/>
    <mergeCell ref="H8:H9"/>
    <mergeCell ref="P10:P11"/>
    <mergeCell ref="P12:P13"/>
    <mergeCell ref="P14:P15"/>
    <mergeCell ref="B8:B9"/>
    <mergeCell ref="C8:C9"/>
    <mergeCell ref="E8:E9"/>
    <mergeCell ref="F8:F9"/>
    <mergeCell ref="B14:B15"/>
    <mergeCell ref="C14:C15"/>
    <mergeCell ref="E14:E15"/>
    <mergeCell ref="F14:F15"/>
    <mergeCell ref="G14:G15"/>
    <mergeCell ref="H14:H15"/>
    <mergeCell ref="J14:J15"/>
    <mergeCell ref="O12:O13"/>
    <mergeCell ref="Q10:Q11"/>
    <mergeCell ref="R10:R11"/>
    <mergeCell ref="B10:B11"/>
    <mergeCell ref="C10:C11"/>
    <mergeCell ref="E10:E11"/>
    <mergeCell ref="F10:F11"/>
    <mergeCell ref="G10:G11"/>
    <mergeCell ref="B12:B13"/>
    <mergeCell ref="C12:C13"/>
    <mergeCell ref="E12:E13"/>
    <mergeCell ref="F12:F13"/>
    <mergeCell ref="G12:G13"/>
    <mergeCell ref="G8:G9"/>
    <mergeCell ref="J5:K5"/>
    <mergeCell ref="L5:L6"/>
    <mergeCell ref="L8:L9"/>
    <mergeCell ref="M8:M9"/>
    <mergeCell ref="N8:N9"/>
    <mergeCell ref="M5:M6"/>
    <mergeCell ref="N5:N6"/>
    <mergeCell ref="H12:H13"/>
    <mergeCell ref="J12:J13"/>
    <mergeCell ref="J10:J11"/>
    <mergeCell ref="K10:K11"/>
    <mergeCell ref="F5:F6"/>
    <mergeCell ref="G5:G6"/>
    <mergeCell ref="H5:H6"/>
    <mergeCell ref="E5:E6"/>
    <mergeCell ref="H3:M3"/>
    <mergeCell ref="H4:M4"/>
    <mergeCell ref="A3:D3"/>
    <mergeCell ref="A5:A6"/>
    <mergeCell ref="B5:B6"/>
    <mergeCell ref="C5:C6"/>
    <mergeCell ref="D5:D6"/>
    <mergeCell ref="S5:S6"/>
    <mergeCell ref="T5:T6"/>
    <mergeCell ref="I14:I15"/>
    <mergeCell ref="Q12:Q13"/>
    <mergeCell ref="Q14:Q15"/>
    <mergeCell ref="I12:I13"/>
    <mergeCell ref="I8:I9"/>
    <mergeCell ref="I10:I11"/>
    <mergeCell ref="O8:O9"/>
    <mergeCell ref="Q8:Q9"/>
    <mergeCell ref="K14:K15"/>
    <mergeCell ref="K12:K13"/>
    <mergeCell ref="L12:L13"/>
    <mergeCell ref="M12:M13"/>
    <mergeCell ref="N12:N13"/>
    <mergeCell ref="I5:I6"/>
    <mergeCell ref="O5:O6"/>
    <mergeCell ref="Q5:R5"/>
    <mergeCell ref="P5:P6"/>
    <mergeCell ref="P8:P9"/>
    <mergeCell ref="T8:T9"/>
    <mergeCell ref="T10:T11"/>
    <mergeCell ref="T12:T13"/>
    <mergeCell ref="T14:T15"/>
    <mergeCell ref="H19:H20"/>
    <mergeCell ref="I19:I20"/>
    <mergeCell ref="J19:J20"/>
    <mergeCell ref="K19:K20"/>
    <mergeCell ref="L19:L20"/>
    <mergeCell ref="B19:B20"/>
    <mergeCell ref="C19:C20"/>
    <mergeCell ref="E19:E20"/>
    <mergeCell ref="F19:F20"/>
    <mergeCell ref="G19:G20"/>
    <mergeCell ref="B21:B22"/>
    <mergeCell ref="C21:C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M19:M20"/>
    <mergeCell ref="N19:N20"/>
    <mergeCell ref="O19:O20"/>
    <mergeCell ref="P23:P24"/>
    <mergeCell ref="Q23:Q24"/>
    <mergeCell ref="I23:I24"/>
    <mergeCell ref="J23:J24"/>
    <mergeCell ref="K23:K24"/>
    <mergeCell ref="L23:L24"/>
    <mergeCell ref="B23:B24"/>
    <mergeCell ref="C23:C24"/>
    <mergeCell ref="E23:E24"/>
    <mergeCell ref="F23:F24"/>
    <mergeCell ref="G23:G24"/>
    <mergeCell ref="Q25:Q26"/>
    <mergeCell ref="R25:R26"/>
    <mergeCell ref="S25:S26"/>
    <mergeCell ref="T25:T26"/>
    <mergeCell ref="R23:R24"/>
    <mergeCell ref="S23:S24"/>
    <mergeCell ref="T23:T24"/>
    <mergeCell ref="B25:B26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M23:M24"/>
    <mergeCell ref="N23:N24"/>
    <mergeCell ref="O23:O24"/>
    <mergeCell ref="H23:H24"/>
    <mergeCell ref="P27:P28"/>
    <mergeCell ref="Q27:Q28"/>
    <mergeCell ref="H27:H28"/>
    <mergeCell ref="I27:I28"/>
    <mergeCell ref="J27:J28"/>
    <mergeCell ref="K27:K28"/>
    <mergeCell ref="L27:L28"/>
    <mergeCell ref="B27:B28"/>
    <mergeCell ref="C27:C28"/>
    <mergeCell ref="E27:E28"/>
    <mergeCell ref="F27:F28"/>
    <mergeCell ref="G27:G28"/>
    <mergeCell ref="P29:P30"/>
    <mergeCell ref="Q29:Q30"/>
    <mergeCell ref="R29:R30"/>
    <mergeCell ref="S29:S30"/>
    <mergeCell ref="T29:T30"/>
    <mergeCell ref="R27:R28"/>
    <mergeCell ref="S27:S28"/>
    <mergeCell ref="T27:T28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M27:M28"/>
    <mergeCell ref="N27:N28"/>
    <mergeCell ref="O27:O28"/>
    <mergeCell ref="P31:P32"/>
    <mergeCell ref="Q31:Q32"/>
    <mergeCell ref="H31:H32"/>
    <mergeCell ref="I31:I32"/>
    <mergeCell ref="J31:J32"/>
    <mergeCell ref="K31:K32"/>
    <mergeCell ref="L31:L32"/>
    <mergeCell ref="B31:B32"/>
    <mergeCell ref="C31:C32"/>
    <mergeCell ref="E31:E32"/>
    <mergeCell ref="F31:F32"/>
    <mergeCell ref="G31:G32"/>
    <mergeCell ref="P33:P34"/>
    <mergeCell ref="Q33:Q34"/>
    <mergeCell ref="R33:R34"/>
    <mergeCell ref="S33:S34"/>
    <mergeCell ref="T33:T34"/>
    <mergeCell ref="R31:R32"/>
    <mergeCell ref="S31:S32"/>
    <mergeCell ref="T31:T32"/>
    <mergeCell ref="B33:B34"/>
    <mergeCell ref="C33:C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M31:M32"/>
    <mergeCell ref="N31:N32"/>
    <mergeCell ref="O31:O32"/>
    <mergeCell ref="P35:P36"/>
    <mergeCell ref="Q35:Q36"/>
    <mergeCell ref="H35:H36"/>
    <mergeCell ref="I35:I36"/>
    <mergeCell ref="J35:J36"/>
    <mergeCell ref="K35:K36"/>
    <mergeCell ref="L35:L36"/>
    <mergeCell ref="B35:B36"/>
    <mergeCell ref="C35:C36"/>
    <mergeCell ref="E35:E36"/>
    <mergeCell ref="F35:F36"/>
    <mergeCell ref="G35:G36"/>
    <mergeCell ref="P37:P38"/>
    <mergeCell ref="Q37:Q38"/>
    <mergeCell ref="R37:R38"/>
    <mergeCell ref="S37:S38"/>
    <mergeCell ref="T37:T38"/>
    <mergeCell ref="R35:R36"/>
    <mergeCell ref="S35:S36"/>
    <mergeCell ref="T35:T36"/>
    <mergeCell ref="B37:B38"/>
    <mergeCell ref="C37:C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M35:M36"/>
    <mergeCell ref="N35:N36"/>
    <mergeCell ref="O35:O36"/>
    <mergeCell ref="P39:P40"/>
    <mergeCell ref="Q39:Q40"/>
    <mergeCell ref="H39:H40"/>
    <mergeCell ref="I39:I40"/>
    <mergeCell ref="J39:J40"/>
    <mergeCell ref="K39:K40"/>
    <mergeCell ref="L39:L40"/>
    <mergeCell ref="B39:B40"/>
    <mergeCell ref="C39:C40"/>
    <mergeCell ref="E39:E40"/>
    <mergeCell ref="F39:F40"/>
    <mergeCell ref="G39:G40"/>
    <mergeCell ref="P41:P42"/>
    <mergeCell ref="Q41:Q42"/>
    <mergeCell ref="R41:R42"/>
    <mergeCell ref="S41:S42"/>
    <mergeCell ref="T41:T42"/>
    <mergeCell ref="R39:R40"/>
    <mergeCell ref="S39:S40"/>
    <mergeCell ref="T39:T40"/>
    <mergeCell ref="B41:B42"/>
    <mergeCell ref="C41:C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M39:M40"/>
    <mergeCell ref="N39:N40"/>
    <mergeCell ref="O39:O40"/>
    <mergeCell ref="L50:L51"/>
    <mergeCell ref="M50:M51"/>
    <mergeCell ref="N50:N51"/>
    <mergeCell ref="B52:B53"/>
    <mergeCell ref="C52:C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B50:B51"/>
    <mergeCell ref="C50:C51"/>
    <mergeCell ref="E50:E51"/>
    <mergeCell ref="F50:F51"/>
    <mergeCell ref="G50:G51"/>
    <mergeCell ref="H50:H51"/>
    <mergeCell ref="I50:I51"/>
    <mergeCell ref="J50:J51"/>
    <mergeCell ref="K50:K51"/>
    <mergeCell ref="O52:O53"/>
    <mergeCell ref="P52:P53"/>
    <mergeCell ref="Q52:Q53"/>
    <mergeCell ref="R52:R53"/>
    <mergeCell ref="S52:S53"/>
    <mergeCell ref="T52:T53"/>
    <mergeCell ref="B54:B55"/>
    <mergeCell ref="C54:C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T54:T55"/>
    <mergeCell ref="B56:B57"/>
    <mergeCell ref="C56:C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B58:B59"/>
    <mergeCell ref="C58:C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B60:B61"/>
    <mergeCell ref="C60:C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B62:B63"/>
    <mergeCell ref="C62:C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B64:B65"/>
    <mergeCell ref="C64:C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B66:B67"/>
    <mergeCell ref="C66:C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B68:B69"/>
    <mergeCell ref="C68:C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B70:B71"/>
    <mergeCell ref="C70:C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B72:B73"/>
    <mergeCell ref="C72:C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</mergeCells>
  <pageMargins left="0.25" right="0.25" top="0.75" bottom="0.75" header="0.3" footer="0.3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zoomScale="70" zoomScaleNormal="70" workbookViewId="0">
      <selection activeCell="N11" sqref="N11"/>
    </sheetView>
  </sheetViews>
  <sheetFormatPr defaultRowHeight="15" x14ac:dyDescent="0.25"/>
  <cols>
    <col min="1" max="1" width="9.5703125" style="2" customWidth="1"/>
    <col min="2" max="2" width="17" customWidth="1"/>
    <col min="3" max="3" width="16.28515625" customWidth="1"/>
    <col min="4" max="4" width="19.28515625" customWidth="1"/>
    <col min="5" max="5" width="13.28515625" customWidth="1"/>
    <col min="6" max="6" width="21.7109375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25.140625" bestFit="1" customWidth="1"/>
    <col min="14" max="14" width="18" customWidth="1"/>
    <col min="15" max="15" width="17" customWidth="1"/>
    <col min="16" max="16" width="20.7109375" customWidth="1"/>
    <col min="17" max="17" width="21.7109375" customWidth="1"/>
    <col min="18" max="19" width="14.140625" customWidth="1"/>
    <col min="20" max="20" width="16.425781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2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2" x14ac:dyDescent="0.25">
      <c r="A2" s="27"/>
      <c r="B2" s="27"/>
      <c r="C2" s="27"/>
      <c r="D2" s="27"/>
      <c r="E2" s="27"/>
      <c r="F2" s="27"/>
      <c r="G2" s="27"/>
      <c r="H2" s="28"/>
      <c r="I2" s="28"/>
      <c r="J2" s="28"/>
      <c r="K2" s="28"/>
      <c r="L2" s="28"/>
      <c r="M2" s="28"/>
      <c r="N2" s="28"/>
      <c r="O2" s="29" t="s">
        <v>21</v>
      </c>
      <c r="P2" s="29" t="s">
        <v>33</v>
      </c>
      <c r="Q2" s="60" t="s">
        <v>21</v>
      </c>
      <c r="R2" s="60" t="s">
        <v>33</v>
      </c>
    </row>
    <row r="3" spans="1:22" ht="18.75" x14ac:dyDescent="0.25">
      <c r="A3" s="76" t="s">
        <v>15</v>
      </c>
      <c r="B3" s="76"/>
      <c r="C3" s="76"/>
      <c r="D3" s="76"/>
      <c r="H3" s="83" t="s">
        <v>32</v>
      </c>
      <c r="I3" s="83"/>
      <c r="J3" s="83"/>
      <c r="K3" s="83"/>
      <c r="L3" s="83"/>
      <c r="M3" s="84"/>
      <c r="N3" s="30" t="s">
        <v>13</v>
      </c>
      <c r="O3" s="31">
        <v>17.64</v>
      </c>
      <c r="P3" s="30">
        <v>26.93</v>
      </c>
      <c r="Q3" s="61">
        <v>21.16</v>
      </c>
      <c r="R3" s="57">
        <v>29.02</v>
      </c>
    </row>
    <row r="4" spans="1:22" x14ac:dyDescent="0.25">
      <c r="H4" s="85" t="s">
        <v>34</v>
      </c>
      <c r="I4" s="85"/>
      <c r="J4" s="85"/>
      <c r="K4" s="85"/>
      <c r="L4" s="85"/>
      <c r="M4" s="86"/>
      <c r="N4" s="30" t="s">
        <v>35</v>
      </c>
      <c r="O4" s="30">
        <v>21.16</v>
      </c>
      <c r="P4" s="30">
        <v>29.02</v>
      </c>
      <c r="Q4" s="57">
        <v>23.46</v>
      </c>
      <c r="R4" s="57">
        <v>31.01</v>
      </c>
    </row>
    <row r="5" spans="1:22" ht="83.25" customHeight="1" x14ac:dyDescent="0.25">
      <c r="A5" s="78" t="s">
        <v>3</v>
      </c>
      <c r="B5" s="78" t="s">
        <v>2</v>
      </c>
      <c r="C5" s="79" t="s">
        <v>10</v>
      </c>
      <c r="D5" s="78" t="s">
        <v>11</v>
      </c>
      <c r="E5" s="78" t="s">
        <v>0</v>
      </c>
      <c r="F5" s="78" t="s">
        <v>6</v>
      </c>
      <c r="G5" s="78" t="s">
        <v>7</v>
      </c>
      <c r="H5" s="78" t="s">
        <v>8</v>
      </c>
      <c r="I5" s="78" t="s">
        <v>9</v>
      </c>
      <c r="J5" s="78" t="s">
        <v>22</v>
      </c>
      <c r="K5" s="78"/>
      <c r="L5" s="78" t="s">
        <v>24</v>
      </c>
      <c r="M5" s="78" t="s">
        <v>25</v>
      </c>
      <c r="N5" s="79" t="s">
        <v>44</v>
      </c>
      <c r="O5" s="78" t="s">
        <v>26</v>
      </c>
      <c r="P5" s="78" t="s">
        <v>43</v>
      </c>
      <c r="Q5" s="78" t="s">
        <v>4</v>
      </c>
      <c r="R5" s="78"/>
      <c r="S5" s="78" t="s">
        <v>53</v>
      </c>
      <c r="T5" s="78" t="s">
        <v>52</v>
      </c>
    </row>
    <row r="6" spans="1:22" ht="92.25" customHeight="1" x14ac:dyDescent="0.25">
      <c r="A6" s="78"/>
      <c r="B6" s="78"/>
      <c r="C6" s="80"/>
      <c r="D6" s="78"/>
      <c r="E6" s="78"/>
      <c r="F6" s="78"/>
      <c r="G6" s="78"/>
      <c r="H6" s="78"/>
      <c r="I6" s="78"/>
      <c r="J6" s="3" t="s">
        <v>1</v>
      </c>
      <c r="K6" s="3" t="s">
        <v>23</v>
      </c>
      <c r="L6" s="78"/>
      <c r="M6" s="78"/>
      <c r="N6" s="80"/>
      <c r="O6" s="78"/>
      <c r="P6" s="78"/>
      <c r="Q6" s="3" t="s">
        <v>38</v>
      </c>
      <c r="R6" s="3" t="s">
        <v>39</v>
      </c>
      <c r="S6" s="78"/>
      <c r="T6" s="78"/>
    </row>
    <row r="7" spans="1:22" x14ac:dyDescent="0.25">
      <c r="A7" s="4">
        <v>1</v>
      </c>
      <c r="B7" s="4">
        <v>2</v>
      </c>
      <c r="C7" s="4">
        <v>3</v>
      </c>
      <c r="D7" s="10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</row>
    <row r="8" spans="1:22" ht="30.75" hidden="1" customHeight="1" x14ac:dyDescent="0.25">
      <c r="A8" s="5">
        <v>44805</v>
      </c>
      <c r="B8" s="8">
        <v>3907.2</v>
      </c>
      <c r="C8" s="8">
        <v>280</v>
      </c>
      <c r="D8" s="20" t="s">
        <v>31</v>
      </c>
      <c r="E8" s="8" t="s">
        <v>21</v>
      </c>
      <c r="F8" s="16">
        <v>658</v>
      </c>
      <c r="G8" s="16">
        <v>471.87299999999999</v>
      </c>
      <c r="H8" s="16"/>
      <c r="I8" s="16">
        <f t="shared" ref="I8:I11" si="0">F8-(G8+H8)</f>
        <v>186.12700000000001</v>
      </c>
      <c r="J8" s="81" t="s">
        <v>45</v>
      </c>
      <c r="K8" s="82"/>
      <c r="L8" s="8"/>
      <c r="M8" s="8"/>
      <c r="N8" s="16">
        <v>8.9610000000000003</v>
      </c>
      <c r="O8" s="9">
        <f>N8*O3</f>
        <v>158.07204000000002</v>
      </c>
      <c r="P8" s="9">
        <f>N8*P3</f>
        <v>241.31972999999999</v>
      </c>
      <c r="Q8" s="33">
        <f>N8</f>
        <v>8.9610000000000003</v>
      </c>
      <c r="R8" s="16"/>
      <c r="S8" s="36">
        <f>-(Q8*O3)</f>
        <v>-158.07204000000002</v>
      </c>
      <c r="T8" s="36">
        <f>-(Q8*P3)</f>
        <v>-241.31972999999999</v>
      </c>
    </row>
    <row r="9" spans="1:22" hidden="1" x14ac:dyDescent="0.25">
      <c r="A9" s="5">
        <v>44835</v>
      </c>
      <c r="B9" s="8">
        <v>3907.2</v>
      </c>
      <c r="C9" s="8">
        <v>280</v>
      </c>
      <c r="D9" s="20" t="s">
        <v>31</v>
      </c>
      <c r="E9" s="8" t="s">
        <v>21</v>
      </c>
      <c r="F9" s="16">
        <v>546</v>
      </c>
      <c r="G9" s="16">
        <v>646.33199999999999</v>
      </c>
      <c r="H9" s="16"/>
      <c r="I9" s="16">
        <f t="shared" si="0"/>
        <v>-100.33199999999999</v>
      </c>
      <c r="J9" s="7"/>
      <c r="K9" s="6">
        <v>0</v>
      </c>
      <c r="L9" s="13"/>
      <c r="M9" s="13"/>
      <c r="N9" s="16">
        <v>8.9610000000000003</v>
      </c>
      <c r="O9" s="9">
        <f>N9*O3</f>
        <v>158.07204000000002</v>
      </c>
      <c r="P9" s="9">
        <f>N9*P3</f>
        <v>241.31972999999999</v>
      </c>
      <c r="Q9" s="50">
        <f>N9</f>
        <v>8.9610000000000003</v>
      </c>
      <c r="R9" s="7"/>
      <c r="S9" s="36">
        <f>-(Q9*O3)</f>
        <v>-158.07204000000002</v>
      </c>
      <c r="T9" s="36">
        <f>-(Q9*P3)</f>
        <v>-241.31972999999999</v>
      </c>
    </row>
    <row r="10" spans="1:22" hidden="1" x14ac:dyDescent="0.25">
      <c r="A10" s="5">
        <v>44866</v>
      </c>
      <c r="B10" s="8">
        <v>3907.2</v>
      </c>
      <c r="C10" s="8">
        <v>280</v>
      </c>
      <c r="D10" s="20" t="s">
        <v>31</v>
      </c>
      <c r="E10" s="8" t="s">
        <v>21</v>
      </c>
      <c r="F10" s="17">
        <v>584</v>
      </c>
      <c r="G10" s="17">
        <v>631.976</v>
      </c>
      <c r="H10" s="22"/>
      <c r="I10" s="16">
        <f t="shared" si="0"/>
        <v>-47.975999999999999</v>
      </c>
      <c r="J10" s="7"/>
      <c r="K10" s="6">
        <v>0</v>
      </c>
      <c r="L10" s="7"/>
      <c r="M10" s="7"/>
      <c r="N10" s="16">
        <v>8.9610000000000003</v>
      </c>
      <c r="O10" s="9">
        <f>N10*O3</f>
        <v>158.07204000000002</v>
      </c>
      <c r="P10" s="9">
        <f>N10*P3</f>
        <v>241.31972999999999</v>
      </c>
      <c r="Q10" s="50">
        <f t="shared" ref="Q10:Q11" si="1">N10</f>
        <v>8.9610000000000003</v>
      </c>
      <c r="R10" s="7"/>
      <c r="S10" s="36">
        <f>-(Q10*O3)</f>
        <v>-158.07204000000002</v>
      </c>
      <c r="T10" s="36">
        <f>-(Q10*P3)</f>
        <v>-241.31972999999999</v>
      </c>
    </row>
    <row r="11" spans="1:22" hidden="1" x14ac:dyDescent="0.25">
      <c r="A11" s="5">
        <v>44896</v>
      </c>
      <c r="B11" s="6">
        <v>3907.2</v>
      </c>
      <c r="C11" s="6">
        <v>280</v>
      </c>
      <c r="D11" s="20" t="s">
        <v>31</v>
      </c>
      <c r="E11" s="6" t="s">
        <v>21</v>
      </c>
      <c r="F11" s="17">
        <v>603</v>
      </c>
      <c r="G11" s="17">
        <v>618.37599999999998</v>
      </c>
      <c r="H11" s="22"/>
      <c r="I11" s="17">
        <f t="shared" si="0"/>
        <v>-15.375999999999976</v>
      </c>
      <c r="J11" s="7"/>
      <c r="K11" s="6">
        <v>0</v>
      </c>
      <c r="L11" s="7"/>
      <c r="M11" s="7"/>
      <c r="N11" s="17">
        <v>8.9610000000000003</v>
      </c>
      <c r="O11" s="11">
        <f>N11*O4</f>
        <v>189.61476000000002</v>
      </c>
      <c r="P11" s="11">
        <f>N11*P4</f>
        <v>260.04822000000001</v>
      </c>
      <c r="Q11" s="50">
        <f t="shared" si="1"/>
        <v>8.9610000000000003</v>
      </c>
      <c r="R11" s="7"/>
      <c r="S11" s="36">
        <f>-(Q11*O4)</f>
        <v>-189.61476000000002</v>
      </c>
      <c r="T11" s="36">
        <f>-(Q11*P4)</f>
        <v>-260.04822000000001</v>
      </c>
    </row>
    <row r="12" spans="1:22" hidden="1" x14ac:dyDescent="0.25">
      <c r="B12" s="1"/>
      <c r="C12" s="1"/>
      <c r="N12" s="38" t="s">
        <v>46</v>
      </c>
      <c r="O12" s="39">
        <f>SUM(O8:O11)</f>
        <v>663.83088000000009</v>
      </c>
      <c r="P12" s="39">
        <f>SUM(P8:P11)</f>
        <v>984.00741000000005</v>
      </c>
      <c r="Q12" s="40"/>
      <c r="R12" s="41"/>
      <c r="S12" s="42">
        <f>SUM(S8:S11)</f>
        <v>-663.83088000000009</v>
      </c>
      <c r="T12" s="42">
        <f>SUM(T8:T11)</f>
        <v>-984.00741000000005</v>
      </c>
      <c r="U12" s="41"/>
      <c r="V12" s="41"/>
    </row>
    <row r="13" spans="1:22" hidden="1" x14ac:dyDescent="0.25">
      <c r="B13" s="1"/>
      <c r="C13" s="1"/>
      <c r="N13" s="41"/>
      <c r="O13" s="41"/>
      <c r="P13" s="41"/>
      <c r="Q13" s="41"/>
      <c r="R13" s="41" t="s">
        <v>41</v>
      </c>
      <c r="T13" s="41"/>
      <c r="U13" s="41"/>
      <c r="V13" s="41"/>
    </row>
    <row r="14" spans="1:22" hidden="1" x14ac:dyDescent="0.25">
      <c r="B14" s="1"/>
      <c r="C14" s="1"/>
      <c r="N14" s="41"/>
      <c r="O14" s="41"/>
      <c r="P14" s="41"/>
      <c r="Q14" s="41"/>
      <c r="R14" s="41"/>
      <c r="S14" s="41"/>
      <c r="T14" s="42">
        <f>T12+S12</f>
        <v>-1647.8382900000001</v>
      </c>
      <c r="U14" s="41"/>
      <c r="V14" s="41"/>
    </row>
    <row r="15" spans="1:22" hidden="1" x14ac:dyDescent="0.25">
      <c r="A15" s="5">
        <v>44927</v>
      </c>
      <c r="B15" s="6">
        <v>3907.2</v>
      </c>
      <c r="C15" s="6">
        <v>280</v>
      </c>
      <c r="D15" s="20" t="s">
        <v>31</v>
      </c>
      <c r="E15" s="6" t="s">
        <v>21</v>
      </c>
      <c r="F15" s="17">
        <v>687</v>
      </c>
      <c r="G15" s="17">
        <v>686.70100000000002</v>
      </c>
      <c r="H15" s="22"/>
      <c r="I15" s="17">
        <f t="shared" ref="I15:I22" si="2">F15-(G15+H15)</f>
        <v>0.29899999999997817</v>
      </c>
      <c r="J15" s="7"/>
      <c r="K15" s="6">
        <v>0</v>
      </c>
      <c r="L15" s="7"/>
      <c r="M15" s="7"/>
      <c r="N15" s="17">
        <v>8.9610000000000003</v>
      </c>
      <c r="O15" s="11">
        <f>N15*O4</f>
        <v>189.61476000000002</v>
      </c>
      <c r="P15" s="11">
        <f>N15*P4</f>
        <v>260.04822000000001</v>
      </c>
      <c r="Q15" s="50">
        <f t="shared" ref="Q15" si="3">N15</f>
        <v>8.9610000000000003</v>
      </c>
      <c r="R15" s="7"/>
      <c r="S15" s="36">
        <f>-(Q15*O4)</f>
        <v>-189.61476000000002</v>
      </c>
      <c r="T15" s="36">
        <f>-(Q15*P4)</f>
        <v>-260.04822000000001</v>
      </c>
    </row>
    <row r="16" spans="1:22" hidden="1" x14ac:dyDescent="0.25">
      <c r="A16" s="5">
        <v>44958</v>
      </c>
      <c r="B16" s="6">
        <v>3907.2</v>
      </c>
      <c r="C16" s="6">
        <v>280</v>
      </c>
      <c r="D16" s="20" t="s">
        <v>76</v>
      </c>
      <c r="E16" s="6" t="s">
        <v>21</v>
      </c>
      <c r="F16" s="17">
        <v>572</v>
      </c>
      <c r="G16" s="17">
        <v>682.06</v>
      </c>
      <c r="H16" s="22"/>
      <c r="I16" s="17">
        <f t="shared" si="2"/>
        <v>-110.05999999999995</v>
      </c>
      <c r="J16" s="7"/>
      <c r="K16" s="6">
        <v>0</v>
      </c>
      <c r="L16" s="7"/>
      <c r="M16" s="7"/>
      <c r="N16" s="17">
        <v>8.9610000000000003</v>
      </c>
      <c r="O16" s="11">
        <f>N16*O4</f>
        <v>189.61476000000002</v>
      </c>
      <c r="P16" s="11">
        <f>N16*P4</f>
        <v>260.04822000000001</v>
      </c>
      <c r="Q16" s="50">
        <f t="shared" ref="Q16:Q26" si="4">N16</f>
        <v>8.9610000000000003</v>
      </c>
      <c r="R16" s="7"/>
      <c r="S16" s="36">
        <f>-(Q16*O4)</f>
        <v>-189.61476000000002</v>
      </c>
      <c r="T16" s="36">
        <f>-(Q16*P4)</f>
        <v>-260.04822000000001</v>
      </c>
      <c r="U16" s="41"/>
      <c r="V16" s="41"/>
    </row>
    <row r="17" spans="1:22" hidden="1" x14ac:dyDescent="0.25">
      <c r="A17" s="5">
        <v>44986</v>
      </c>
      <c r="B17" s="6">
        <v>3907.2</v>
      </c>
      <c r="C17" s="6">
        <v>280</v>
      </c>
      <c r="D17" s="20" t="s">
        <v>77</v>
      </c>
      <c r="E17" s="6" t="s">
        <v>21</v>
      </c>
      <c r="F17" s="17">
        <v>568</v>
      </c>
      <c r="G17" s="17">
        <v>671.827</v>
      </c>
      <c r="H17" s="22"/>
      <c r="I17" s="17">
        <f t="shared" si="2"/>
        <v>-103.827</v>
      </c>
      <c r="J17" s="7"/>
      <c r="K17" s="6">
        <v>0</v>
      </c>
      <c r="L17" s="7"/>
      <c r="M17" s="7"/>
      <c r="N17" s="17">
        <v>8.9610000000000003</v>
      </c>
      <c r="O17" s="11">
        <f>N17*O4</f>
        <v>189.61476000000002</v>
      </c>
      <c r="P17" s="11">
        <f>N17*P4</f>
        <v>260.04822000000001</v>
      </c>
      <c r="Q17" s="50">
        <f t="shared" si="4"/>
        <v>8.9610000000000003</v>
      </c>
      <c r="R17" s="7"/>
      <c r="S17" s="36">
        <f>-(Q17*O4)</f>
        <v>-189.61476000000002</v>
      </c>
      <c r="T17" s="36">
        <f>-(Q17*P4)</f>
        <v>-260.04822000000001</v>
      </c>
      <c r="U17" s="41"/>
      <c r="V17" s="41"/>
    </row>
    <row r="18" spans="1:22" hidden="1" x14ac:dyDescent="0.25">
      <c r="A18" s="5">
        <v>45017</v>
      </c>
      <c r="B18" s="6">
        <v>3907.2</v>
      </c>
      <c r="C18" s="6">
        <v>280</v>
      </c>
      <c r="D18" s="20" t="s">
        <v>78</v>
      </c>
      <c r="E18" s="6" t="s">
        <v>21</v>
      </c>
      <c r="F18" s="17">
        <v>627</v>
      </c>
      <c r="G18" s="17">
        <v>668.678</v>
      </c>
      <c r="H18" s="22"/>
      <c r="I18" s="17">
        <f t="shared" si="2"/>
        <v>-41.677999999999997</v>
      </c>
      <c r="J18" s="7"/>
      <c r="K18" s="6">
        <v>0</v>
      </c>
      <c r="L18" s="7"/>
      <c r="M18" s="7"/>
      <c r="N18" s="17">
        <v>8.9610000000000003</v>
      </c>
      <c r="O18" s="11">
        <f>N18*O4</f>
        <v>189.61476000000002</v>
      </c>
      <c r="P18" s="11">
        <f>N18*P4</f>
        <v>260.04822000000001</v>
      </c>
      <c r="Q18" s="50">
        <f t="shared" si="4"/>
        <v>8.9610000000000003</v>
      </c>
      <c r="R18" s="7"/>
      <c r="S18" s="36">
        <f>-(Q18*O4)</f>
        <v>-189.61476000000002</v>
      </c>
      <c r="T18" s="36">
        <f>-(Q18*P4)</f>
        <v>-260.04822000000001</v>
      </c>
    </row>
    <row r="19" spans="1:22" hidden="1" x14ac:dyDescent="0.25">
      <c r="A19" s="5">
        <v>45047</v>
      </c>
      <c r="B19" s="6">
        <v>3907.2</v>
      </c>
      <c r="C19" s="6">
        <v>280</v>
      </c>
      <c r="D19" s="20" t="s">
        <v>79</v>
      </c>
      <c r="E19" s="6" t="s">
        <v>21</v>
      </c>
      <c r="F19" s="17">
        <v>587</v>
      </c>
      <c r="G19" s="17">
        <v>645.44000000000005</v>
      </c>
      <c r="H19" s="22"/>
      <c r="I19" s="17">
        <f t="shared" si="2"/>
        <v>-58.440000000000055</v>
      </c>
      <c r="J19" s="7"/>
      <c r="K19" s="6">
        <v>0</v>
      </c>
      <c r="L19" s="7"/>
      <c r="M19" s="7"/>
      <c r="N19" s="17">
        <v>8.9610000000000003</v>
      </c>
      <c r="O19" s="11">
        <f>N19*O4</f>
        <v>189.61476000000002</v>
      </c>
      <c r="P19" s="11">
        <f>N19*P4</f>
        <v>260.04822000000001</v>
      </c>
      <c r="Q19" s="50">
        <f t="shared" si="4"/>
        <v>8.9610000000000003</v>
      </c>
      <c r="R19" s="7"/>
      <c r="S19" s="36">
        <f>-(Q19*O4)</f>
        <v>-189.61476000000002</v>
      </c>
      <c r="T19" s="36">
        <f>-(Q19*P4)</f>
        <v>-260.04822000000001</v>
      </c>
    </row>
    <row r="20" spans="1:22" hidden="1" x14ac:dyDescent="0.25">
      <c r="A20" s="5">
        <v>45078</v>
      </c>
      <c r="B20" s="6">
        <v>3907.2</v>
      </c>
      <c r="C20" s="6">
        <v>280</v>
      </c>
      <c r="D20" s="20" t="s">
        <v>80</v>
      </c>
      <c r="E20" s="6" t="s">
        <v>21</v>
      </c>
      <c r="F20" s="17">
        <v>486</v>
      </c>
      <c r="G20" s="17">
        <v>629.99599999999998</v>
      </c>
      <c r="H20" s="22"/>
      <c r="I20" s="17">
        <f t="shared" si="2"/>
        <v>-143.99599999999998</v>
      </c>
      <c r="J20" s="7"/>
      <c r="K20" s="6">
        <v>0</v>
      </c>
      <c r="L20" s="7"/>
      <c r="M20" s="7"/>
      <c r="N20" s="17">
        <v>8.9610000000000003</v>
      </c>
      <c r="O20" s="11">
        <f>N20*O4</f>
        <v>189.61476000000002</v>
      </c>
      <c r="P20" s="11">
        <f>N20*P4</f>
        <v>260.04822000000001</v>
      </c>
      <c r="Q20" s="50">
        <f t="shared" si="4"/>
        <v>8.9610000000000003</v>
      </c>
      <c r="R20" s="7"/>
      <c r="S20" s="36">
        <f>-(Q20*O4)</f>
        <v>-189.61476000000002</v>
      </c>
      <c r="T20" s="36">
        <f>-(Q20*P4)</f>
        <v>-260.04822000000001</v>
      </c>
    </row>
    <row r="21" spans="1:22" hidden="1" x14ac:dyDescent="0.25">
      <c r="A21" s="5">
        <v>45108</v>
      </c>
      <c r="B21" s="6">
        <v>3907.2</v>
      </c>
      <c r="C21" s="6">
        <v>280</v>
      </c>
      <c r="D21" s="20" t="s">
        <v>81</v>
      </c>
      <c r="E21" s="6" t="s">
        <v>21</v>
      </c>
      <c r="F21" s="17">
        <v>520</v>
      </c>
      <c r="G21" s="17">
        <v>634.91399999999999</v>
      </c>
      <c r="H21" s="22"/>
      <c r="I21" s="17">
        <f t="shared" si="2"/>
        <v>-114.91399999999999</v>
      </c>
      <c r="J21" s="7"/>
      <c r="K21" s="6">
        <v>0</v>
      </c>
      <c r="L21" s="7"/>
      <c r="M21" s="7"/>
      <c r="N21" s="17">
        <v>8.9610000000000003</v>
      </c>
      <c r="O21" s="11">
        <f>N21*O4</f>
        <v>189.61476000000002</v>
      </c>
      <c r="P21" s="11">
        <f>N21*P4</f>
        <v>260.04822000000001</v>
      </c>
      <c r="Q21" s="50">
        <f t="shared" si="4"/>
        <v>8.9610000000000003</v>
      </c>
      <c r="R21" s="7"/>
      <c r="S21" s="36">
        <f>-(Q21*O4)</f>
        <v>-189.61476000000002</v>
      </c>
      <c r="T21" s="36">
        <f>-(Q21*P4)</f>
        <v>-260.04822000000001</v>
      </c>
    </row>
    <row r="22" spans="1:22" hidden="1" x14ac:dyDescent="0.25">
      <c r="A22" s="5">
        <v>45139</v>
      </c>
      <c r="B22" s="6">
        <v>3907.2</v>
      </c>
      <c r="C22" s="6">
        <v>280</v>
      </c>
      <c r="D22" s="20" t="s">
        <v>82</v>
      </c>
      <c r="E22" s="6" t="s">
        <v>21</v>
      </c>
      <c r="F22" s="17">
        <v>675</v>
      </c>
      <c r="G22" s="17">
        <v>507.79199999999997</v>
      </c>
      <c r="H22" s="22"/>
      <c r="I22" s="17">
        <f t="shared" si="2"/>
        <v>167.20800000000003</v>
      </c>
      <c r="J22" s="7"/>
      <c r="K22" s="6">
        <v>0</v>
      </c>
      <c r="L22" s="7"/>
      <c r="M22" s="7"/>
      <c r="N22" s="17">
        <v>8.9610000000000003</v>
      </c>
      <c r="O22" s="11">
        <f>N22*O4</f>
        <v>189.61476000000002</v>
      </c>
      <c r="P22" s="11">
        <f>N22*P4</f>
        <v>260.04822000000001</v>
      </c>
      <c r="Q22" s="50">
        <f t="shared" si="4"/>
        <v>8.9610000000000003</v>
      </c>
      <c r="R22" s="7"/>
      <c r="S22" s="36">
        <f>-(Q22*O4)</f>
        <v>-189.61476000000002</v>
      </c>
      <c r="T22" s="36">
        <f>-(Q22*P4)</f>
        <v>-260.04822000000001</v>
      </c>
    </row>
    <row r="23" spans="1:22" hidden="1" x14ac:dyDescent="0.25">
      <c r="A23" s="5">
        <v>45170</v>
      </c>
      <c r="B23" s="6">
        <v>3907.2</v>
      </c>
      <c r="C23" s="6">
        <v>280</v>
      </c>
      <c r="D23" s="20" t="s">
        <v>83</v>
      </c>
      <c r="E23" s="6" t="s">
        <v>21</v>
      </c>
      <c r="F23" s="17">
        <v>566</v>
      </c>
      <c r="G23" s="17">
        <v>610.08199999999999</v>
      </c>
      <c r="H23" s="22"/>
      <c r="I23" s="17">
        <f t="shared" ref="I23:I26" si="5">F23-(G23+H23)</f>
        <v>-44.081999999999994</v>
      </c>
      <c r="J23" s="7"/>
      <c r="K23" s="6">
        <v>0</v>
      </c>
      <c r="L23" s="7"/>
      <c r="M23" s="7"/>
      <c r="N23" s="17">
        <v>8.9610000000000003</v>
      </c>
      <c r="O23" s="11">
        <f>N23*O4</f>
        <v>189.61476000000002</v>
      </c>
      <c r="P23" s="11">
        <f>N23*P4</f>
        <v>260.04822000000001</v>
      </c>
      <c r="Q23" s="50">
        <f t="shared" si="4"/>
        <v>8.9610000000000003</v>
      </c>
      <c r="R23" s="7"/>
      <c r="S23" s="36">
        <f>-(Q23*O4)</f>
        <v>-189.61476000000002</v>
      </c>
      <c r="T23" s="36">
        <f>-(Q23*P4)</f>
        <v>-260.04822000000001</v>
      </c>
    </row>
    <row r="24" spans="1:22" hidden="1" x14ac:dyDescent="0.25">
      <c r="A24" s="5">
        <v>45200</v>
      </c>
      <c r="B24" s="6">
        <v>3907.2</v>
      </c>
      <c r="C24" s="6">
        <v>280</v>
      </c>
      <c r="D24" s="20" t="s">
        <v>84</v>
      </c>
      <c r="E24" s="6" t="s">
        <v>21</v>
      </c>
      <c r="F24" s="17">
        <v>667</v>
      </c>
      <c r="G24" s="17">
        <v>619.50900000000001</v>
      </c>
      <c r="H24" s="22"/>
      <c r="I24" s="17">
        <f t="shared" si="5"/>
        <v>47.490999999999985</v>
      </c>
      <c r="J24" s="7"/>
      <c r="K24" s="6">
        <v>0</v>
      </c>
      <c r="L24" s="7"/>
      <c r="M24" s="7"/>
      <c r="N24" s="17">
        <v>8.9610000000000003</v>
      </c>
      <c r="O24" s="11">
        <f>N24*O4</f>
        <v>189.61476000000002</v>
      </c>
      <c r="P24" s="11">
        <f>N24*P4</f>
        <v>260.04822000000001</v>
      </c>
      <c r="Q24" s="50">
        <f t="shared" si="4"/>
        <v>8.9610000000000003</v>
      </c>
      <c r="R24" s="7"/>
      <c r="S24" s="36">
        <f>-(Q24*O4)</f>
        <v>-189.61476000000002</v>
      </c>
      <c r="T24" s="36">
        <f>-(Q24*P4)</f>
        <v>-260.04822000000001</v>
      </c>
    </row>
    <row r="25" spans="1:22" hidden="1" x14ac:dyDescent="0.25">
      <c r="A25" s="5">
        <v>45231</v>
      </c>
      <c r="B25" s="6">
        <v>3907.2</v>
      </c>
      <c r="C25" s="6">
        <v>280</v>
      </c>
      <c r="D25" s="20" t="s">
        <v>85</v>
      </c>
      <c r="E25" s="6" t="s">
        <v>21</v>
      </c>
      <c r="F25" s="17">
        <v>637</v>
      </c>
      <c r="G25" s="17">
        <v>650.55200000000002</v>
      </c>
      <c r="H25" s="22"/>
      <c r="I25" s="17">
        <f t="shared" si="5"/>
        <v>-13.552000000000021</v>
      </c>
      <c r="J25" s="7"/>
      <c r="K25" s="6">
        <v>0</v>
      </c>
      <c r="L25" s="7"/>
      <c r="M25" s="7"/>
      <c r="N25" s="17">
        <v>8.9610000000000003</v>
      </c>
      <c r="O25" s="11">
        <f>N25*O4</f>
        <v>189.61476000000002</v>
      </c>
      <c r="P25" s="11">
        <f>N25*P4</f>
        <v>260.04822000000001</v>
      </c>
      <c r="Q25" s="50">
        <f t="shared" si="4"/>
        <v>8.9610000000000003</v>
      </c>
      <c r="R25" s="7"/>
      <c r="S25" s="36">
        <f>-(Q25*O4)</f>
        <v>-189.61476000000002</v>
      </c>
      <c r="T25" s="36">
        <f>-(Q25*P4)</f>
        <v>-260.04822000000001</v>
      </c>
    </row>
    <row r="26" spans="1:22" hidden="1" x14ac:dyDescent="0.25">
      <c r="A26" s="5">
        <v>45261</v>
      </c>
      <c r="B26" s="6">
        <v>3907.2</v>
      </c>
      <c r="C26" s="6">
        <v>280</v>
      </c>
      <c r="D26" s="20" t="s">
        <v>86</v>
      </c>
      <c r="E26" s="6" t="s">
        <v>21</v>
      </c>
      <c r="F26" s="17">
        <v>569</v>
      </c>
      <c r="G26" s="17">
        <v>628.84500000000003</v>
      </c>
      <c r="H26" s="22"/>
      <c r="I26" s="17">
        <f t="shared" si="5"/>
        <v>-59.845000000000027</v>
      </c>
      <c r="J26" s="7"/>
      <c r="K26" s="6">
        <v>0</v>
      </c>
      <c r="L26" s="7"/>
      <c r="M26" s="7"/>
      <c r="N26" s="17">
        <v>8.9610000000000003</v>
      </c>
      <c r="O26" s="11">
        <f>N26*O4</f>
        <v>189.61476000000002</v>
      </c>
      <c r="P26" s="11">
        <f>N26*P4</f>
        <v>260.04822000000001</v>
      </c>
      <c r="Q26" s="50">
        <f t="shared" si="4"/>
        <v>8.9610000000000003</v>
      </c>
      <c r="R26" s="7"/>
      <c r="S26" s="36">
        <f>-(Q26*O4)</f>
        <v>-189.61476000000002</v>
      </c>
      <c r="T26" s="36">
        <f>-(Q26*P4)</f>
        <v>-260.04822000000001</v>
      </c>
    </row>
    <row r="27" spans="1:22" hidden="1" x14ac:dyDescent="0.25">
      <c r="B27" s="1"/>
      <c r="C27" s="1"/>
      <c r="O27" s="39">
        <f>SUM(O15:O26)</f>
        <v>2275.3771199999996</v>
      </c>
      <c r="P27" s="39">
        <f>SUM(P15:P26)</f>
        <v>3120.5786400000011</v>
      </c>
      <c r="Q27" s="41"/>
      <c r="R27" s="41"/>
      <c r="S27" s="39">
        <f>SUM(S15:S26)</f>
        <v>-2275.3771199999996</v>
      </c>
      <c r="T27" s="39">
        <f>SUM(T15:T26)</f>
        <v>-3120.5786400000011</v>
      </c>
    </row>
    <row r="28" spans="1:22" hidden="1" x14ac:dyDescent="0.25">
      <c r="B28" s="1"/>
      <c r="C28" s="1"/>
      <c r="O28" s="41"/>
      <c r="P28" s="41"/>
      <c r="Q28" s="41"/>
      <c r="R28" s="41" t="s">
        <v>41</v>
      </c>
      <c r="T28" s="41"/>
    </row>
    <row r="29" spans="1:22" hidden="1" x14ac:dyDescent="0.25">
      <c r="B29" s="1"/>
      <c r="C29" s="1"/>
      <c r="O29" s="41"/>
      <c r="P29" s="41"/>
      <c r="Q29" s="41"/>
      <c r="R29" s="41"/>
      <c r="S29" s="41"/>
      <c r="T29" s="42">
        <f>S27+T27</f>
        <v>-5395.9557600000007</v>
      </c>
    </row>
    <row r="30" spans="1:22" hidden="1" x14ac:dyDescent="0.25"/>
    <row r="31" spans="1:22" hidden="1" x14ac:dyDescent="0.25"/>
    <row r="32" spans="1:22" hidden="1" x14ac:dyDescent="0.25"/>
    <row r="33" spans="1:20" x14ac:dyDescent="0.25">
      <c r="A33" s="5">
        <v>45292</v>
      </c>
      <c r="B33" s="6">
        <v>3907.2</v>
      </c>
      <c r="C33" s="6">
        <v>280</v>
      </c>
      <c r="D33" s="21" t="s">
        <v>27</v>
      </c>
      <c r="E33" s="6" t="s">
        <v>21</v>
      </c>
      <c r="F33" s="17">
        <v>685</v>
      </c>
      <c r="G33" s="17">
        <v>661.37400000000002</v>
      </c>
      <c r="H33" s="17"/>
      <c r="I33" s="17">
        <f>F33-(G33+H33)</f>
        <v>23.625999999999976</v>
      </c>
      <c r="J33" s="6"/>
      <c r="K33" s="6">
        <v>0</v>
      </c>
      <c r="L33" s="6"/>
      <c r="M33" s="6"/>
      <c r="N33" s="17">
        <v>8.9610000000000003</v>
      </c>
      <c r="O33" s="11">
        <f>N33*Q3</f>
        <v>189.61476000000002</v>
      </c>
      <c r="P33" s="11">
        <f>N33*R3</f>
        <v>260.04822000000001</v>
      </c>
      <c r="Q33" s="50"/>
      <c r="R33" s="50"/>
      <c r="S33" s="36">
        <f>-(N33*Q3)</f>
        <v>-189.61476000000002</v>
      </c>
      <c r="T33" s="36">
        <f>-(N33*R3)</f>
        <v>-260.04822000000001</v>
      </c>
    </row>
    <row r="34" spans="1:20" x14ac:dyDescent="0.25">
      <c r="A34" s="5">
        <v>45323</v>
      </c>
      <c r="B34" s="6">
        <v>3907.2</v>
      </c>
      <c r="C34" s="6">
        <v>280</v>
      </c>
      <c r="D34" s="21" t="s">
        <v>54</v>
      </c>
      <c r="E34" s="6" t="s">
        <v>21</v>
      </c>
      <c r="F34" s="17">
        <v>574</v>
      </c>
      <c r="G34" s="17">
        <v>637.53</v>
      </c>
      <c r="H34" s="17"/>
      <c r="I34" s="17">
        <f t="shared" ref="I34" si="6">F34-(G34+H34)</f>
        <v>-63.529999999999973</v>
      </c>
      <c r="J34" s="6"/>
      <c r="K34" s="6">
        <v>0</v>
      </c>
      <c r="L34" s="6"/>
      <c r="M34" s="6"/>
      <c r="N34" s="17">
        <v>8.9610000000000003</v>
      </c>
      <c r="O34" s="11">
        <f>N34*Q3</f>
        <v>189.61476000000002</v>
      </c>
      <c r="P34" s="11">
        <f>N34*R3</f>
        <v>260.04822000000001</v>
      </c>
      <c r="Q34" s="50"/>
      <c r="R34" s="22"/>
      <c r="S34" s="36">
        <f>-(N34*Q3)</f>
        <v>-189.61476000000002</v>
      </c>
      <c r="T34" s="36">
        <f>-(N34*R3)</f>
        <v>-260.04822000000001</v>
      </c>
    </row>
    <row r="35" spans="1:20" x14ac:dyDescent="0.25">
      <c r="A35" s="5">
        <v>45352</v>
      </c>
      <c r="B35" s="6">
        <v>3907.2</v>
      </c>
      <c r="C35" s="6">
        <v>280</v>
      </c>
      <c r="D35" s="21" t="s">
        <v>55</v>
      </c>
      <c r="E35" s="6" t="s">
        <v>21</v>
      </c>
      <c r="F35" s="17">
        <v>630</v>
      </c>
      <c r="G35" s="17">
        <v>638.34699999999998</v>
      </c>
      <c r="H35" s="17"/>
      <c r="I35" s="17">
        <f t="shared" ref="I35:I44" si="7">F35-(G35+H35)</f>
        <v>-8.34699999999998</v>
      </c>
      <c r="J35" s="6"/>
      <c r="K35" s="6">
        <v>0</v>
      </c>
      <c r="L35" s="6"/>
      <c r="M35" s="6"/>
      <c r="N35" s="17">
        <v>8.9610000000000003</v>
      </c>
      <c r="O35" s="11">
        <f>N35*Q3</f>
        <v>189.61476000000002</v>
      </c>
      <c r="P35" s="11">
        <f>N35*R3</f>
        <v>260.04822000000001</v>
      </c>
      <c r="Q35" s="50"/>
      <c r="R35" s="7"/>
      <c r="S35" s="36">
        <f>-(N35*Q3)</f>
        <v>-189.61476000000002</v>
      </c>
      <c r="T35" s="36">
        <f>-(N35*R3)</f>
        <v>-260.04822000000001</v>
      </c>
    </row>
    <row r="36" spans="1:20" x14ac:dyDescent="0.25">
      <c r="A36" s="5">
        <v>45383</v>
      </c>
      <c r="B36" s="6">
        <v>3907.2</v>
      </c>
      <c r="C36" s="6">
        <v>280</v>
      </c>
      <c r="D36" s="21" t="s">
        <v>56</v>
      </c>
      <c r="E36" s="6" t="s">
        <v>21</v>
      </c>
      <c r="F36" s="17">
        <v>613</v>
      </c>
      <c r="G36" s="17">
        <v>646.75300000000004</v>
      </c>
      <c r="H36" s="17"/>
      <c r="I36" s="17">
        <f t="shared" si="7"/>
        <v>-33.753000000000043</v>
      </c>
      <c r="J36" s="6"/>
      <c r="K36" s="6">
        <v>0</v>
      </c>
      <c r="L36" s="6"/>
      <c r="M36" s="6"/>
      <c r="N36" s="17">
        <v>8.9610000000000003</v>
      </c>
      <c r="O36" s="11">
        <f>N36*Q3</f>
        <v>189.61476000000002</v>
      </c>
      <c r="P36" s="11">
        <f>N36*R3</f>
        <v>260.04822000000001</v>
      </c>
      <c r="Q36" s="50"/>
      <c r="R36" s="7"/>
      <c r="S36" s="36">
        <f>-(N36*Q3)</f>
        <v>-189.61476000000002</v>
      </c>
      <c r="T36" s="36">
        <f>-(N36*R3)</f>
        <v>-260.04822000000001</v>
      </c>
    </row>
    <row r="37" spans="1:20" x14ac:dyDescent="0.25">
      <c r="A37" s="5">
        <v>45413</v>
      </c>
      <c r="B37" s="6">
        <v>3907.2</v>
      </c>
      <c r="C37" s="6">
        <v>280</v>
      </c>
      <c r="D37" s="21" t="s">
        <v>57</v>
      </c>
      <c r="E37" s="6" t="s">
        <v>21</v>
      </c>
      <c r="F37" s="17">
        <v>562</v>
      </c>
      <c r="G37" s="17">
        <v>612.29999999999995</v>
      </c>
      <c r="H37" s="17"/>
      <c r="I37" s="17">
        <f t="shared" si="7"/>
        <v>-50.299999999999955</v>
      </c>
      <c r="J37" s="6"/>
      <c r="K37" s="6">
        <v>0</v>
      </c>
      <c r="L37" s="6"/>
      <c r="M37" s="6"/>
      <c r="N37" s="17">
        <v>8.9610000000000003</v>
      </c>
      <c r="O37" s="11">
        <f>N37*Q3</f>
        <v>189.61476000000002</v>
      </c>
      <c r="P37" s="11">
        <f>N37*R3</f>
        <v>260.04822000000001</v>
      </c>
      <c r="Q37" s="50"/>
      <c r="R37" s="7"/>
      <c r="S37" s="36">
        <f>-(N37*Q3)</f>
        <v>-189.61476000000002</v>
      </c>
      <c r="T37" s="36">
        <f>-(N37*R3)</f>
        <v>-260.04822000000001</v>
      </c>
    </row>
    <row r="38" spans="1:20" x14ac:dyDescent="0.25">
      <c r="A38" s="5">
        <v>45444</v>
      </c>
      <c r="B38" s="6">
        <v>3907.2</v>
      </c>
      <c r="C38" s="6">
        <v>280</v>
      </c>
      <c r="D38" s="21" t="s">
        <v>58</v>
      </c>
      <c r="E38" s="6" t="s">
        <v>21</v>
      </c>
      <c r="F38" s="17">
        <v>487</v>
      </c>
      <c r="G38" s="17">
        <v>618.31399999999996</v>
      </c>
      <c r="H38" s="17"/>
      <c r="I38" s="17">
        <f t="shared" si="7"/>
        <v>-131.31399999999996</v>
      </c>
      <c r="J38" s="6"/>
      <c r="K38" s="6">
        <v>0</v>
      </c>
      <c r="L38" s="6"/>
      <c r="M38" s="6"/>
      <c r="N38" s="17">
        <v>8.9610000000000003</v>
      </c>
      <c r="O38" s="11">
        <f>N38*Q3</f>
        <v>189.61476000000002</v>
      </c>
      <c r="P38" s="11">
        <f>N38*R3</f>
        <v>260.04822000000001</v>
      </c>
      <c r="Q38" s="50"/>
      <c r="R38" s="7"/>
      <c r="S38" s="36">
        <f>-(N38*Q3)</f>
        <v>-189.61476000000002</v>
      </c>
      <c r="T38" s="36">
        <f>-(N38*R3)</f>
        <v>-260.04822000000001</v>
      </c>
    </row>
    <row r="39" spans="1:20" x14ac:dyDescent="0.25">
      <c r="A39" s="5">
        <v>45474</v>
      </c>
      <c r="B39" s="6">
        <v>3907.2</v>
      </c>
      <c r="C39" s="6">
        <v>280</v>
      </c>
      <c r="D39" s="21" t="s">
        <v>59</v>
      </c>
      <c r="E39" s="6" t="s">
        <v>21</v>
      </c>
      <c r="F39" s="17">
        <v>556</v>
      </c>
      <c r="G39" s="17">
        <v>634.04499999999996</v>
      </c>
      <c r="H39" s="17"/>
      <c r="I39" s="17">
        <f t="shared" si="7"/>
        <v>-78.044999999999959</v>
      </c>
      <c r="J39" s="6"/>
      <c r="K39" s="6">
        <v>0</v>
      </c>
      <c r="L39" s="6"/>
      <c r="M39" s="6"/>
      <c r="N39" s="17">
        <v>8.9610000000000003</v>
      </c>
      <c r="O39" s="11">
        <f>N39*Q4</f>
        <v>210.22506000000001</v>
      </c>
      <c r="P39" s="11">
        <f>N39*R4</f>
        <v>277.88061000000005</v>
      </c>
      <c r="Q39" s="50"/>
      <c r="R39" s="7"/>
      <c r="S39" s="36">
        <f>-(N39*Q4)</f>
        <v>-210.22506000000001</v>
      </c>
      <c r="T39" s="36">
        <f>-(N39*R4)</f>
        <v>-277.88061000000005</v>
      </c>
    </row>
    <row r="40" spans="1:20" x14ac:dyDescent="0.25">
      <c r="A40" s="5">
        <v>45505</v>
      </c>
      <c r="B40" s="6">
        <v>3907.2</v>
      </c>
      <c r="C40" s="6">
        <v>280</v>
      </c>
      <c r="D40" s="21" t="s">
        <v>60</v>
      </c>
      <c r="E40" s="6" t="s">
        <v>21</v>
      </c>
      <c r="F40" s="17">
        <v>530</v>
      </c>
      <c r="G40" s="17">
        <v>623.04999999999995</v>
      </c>
      <c r="H40" s="17"/>
      <c r="I40" s="17">
        <f t="shared" si="7"/>
        <v>-93.049999999999955</v>
      </c>
      <c r="J40" s="6"/>
      <c r="K40" s="6">
        <v>0</v>
      </c>
      <c r="L40" s="6"/>
      <c r="M40" s="6"/>
      <c r="N40" s="17">
        <v>8.9610000000000003</v>
      </c>
      <c r="O40" s="11">
        <f>N40*Q4</f>
        <v>210.22506000000001</v>
      </c>
      <c r="P40" s="11">
        <f>N40*R4</f>
        <v>277.88061000000005</v>
      </c>
      <c r="Q40" s="50"/>
      <c r="R40" s="7"/>
      <c r="S40" s="36">
        <f>-(N40*Q4)</f>
        <v>-210.22506000000001</v>
      </c>
      <c r="T40" s="36">
        <f>-(N40*R4)</f>
        <v>-277.88061000000005</v>
      </c>
    </row>
    <row r="41" spans="1:20" x14ac:dyDescent="0.25">
      <c r="A41" s="5">
        <v>45536</v>
      </c>
      <c r="B41" s="6">
        <v>3907.2</v>
      </c>
      <c r="C41" s="6">
        <v>280</v>
      </c>
      <c r="D41" s="21" t="s">
        <v>61</v>
      </c>
      <c r="E41" s="6" t="s">
        <v>21</v>
      </c>
      <c r="F41" s="17">
        <v>571</v>
      </c>
      <c r="G41" s="17">
        <v>645.07600000000002</v>
      </c>
      <c r="H41" s="17"/>
      <c r="I41" s="17">
        <f t="shared" si="7"/>
        <v>-74.076000000000022</v>
      </c>
      <c r="J41" s="6"/>
      <c r="K41" s="6">
        <v>0</v>
      </c>
      <c r="L41" s="6"/>
      <c r="M41" s="6"/>
      <c r="N41" s="17">
        <v>8.9610000000000003</v>
      </c>
      <c r="O41" s="11">
        <f>N41*Q4</f>
        <v>210.22506000000001</v>
      </c>
      <c r="P41" s="11">
        <f>N41*R4</f>
        <v>277.88061000000005</v>
      </c>
      <c r="Q41" s="50"/>
      <c r="R41" s="7"/>
      <c r="S41" s="36">
        <f>-(N41*Q4)</f>
        <v>-210.22506000000001</v>
      </c>
      <c r="T41" s="36">
        <f>-(N41*R4)</f>
        <v>-277.88061000000005</v>
      </c>
    </row>
    <row r="42" spans="1:20" x14ac:dyDescent="0.25">
      <c r="A42" s="5">
        <v>45566</v>
      </c>
      <c r="B42" s="6">
        <v>3907.2</v>
      </c>
      <c r="C42" s="6">
        <v>280</v>
      </c>
      <c r="D42" s="21" t="s">
        <v>62</v>
      </c>
      <c r="E42" s="6" t="s">
        <v>21</v>
      </c>
      <c r="F42" s="17">
        <v>518</v>
      </c>
      <c r="G42" s="17">
        <v>617.53200000000004</v>
      </c>
      <c r="H42" s="17"/>
      <c r="I42" s="17">
        <f t="shared" si="7"/>
        <v>-99.532000000000039</v>
      </c>
      <c r="J42" s="6"/>
      <c r="K42" s="6">
        <v>0</v>
      </c>
      <c r="L42" s="6"/>
      <c r="M42" s="6"/>
      <c r="N42" s="17">
        <v>8.9610000000000003</v>
      </c>
      <c r="O42" s="11">
        <f>N42*Q4</f>
        <v>210.22506000000001</v>
      </c>
      <c r="P42" s="11">
        <f>N42*R4</f>
        <v>277.88061000000005</v>
      </c>
      <c r="Q42" s="50"/>
      <c r="R42" s="7"/>
      <c r="S42" s="36">
        <f>-(N42*Q4)</f>
        <v>-210.22506000000001</v>
      </c>
      <c r="T42" s="36">
        <f>-(N42*R4)</f>
        <v>-277.88061000000005</v>
      </c>
    </row>
    <row r="43" spans="1:20" x14ac:dyDescent="0.25">
      <c r="A43" s="5">
        <v>45597</v>
      </c>
      <c r="B43" s="6">
        <v>3907.2</v>
      </c>
      <c r="C43" s="6">
        <v>280</v>
      </c>
      <c r="D43" s="21" t="s">
        <v>63</v>
      </c>
      <c r="E43" s="6" t="s">
        <v>21</v>
      </c>
      <c r="F43" s="17">
        <v>534</v>
      </c>
      <c r="G43" s="17">
        <v>642.47500000000002</v>
      </c>
      <c r="H43" s="17"/>
      <c r="I43" s="17">
        <f t="shared" si="7"/>
        <v>-108.47500000000002</v>
      </c>
      <c r="J43" s="6"/>
      <c r="K43" s="6">
        <v>0</v>
      </c>
      <c r="L43" s="6"/>
      <c r="M43" s="6"/>
      <c r="N43" s="17">
        <v>8.9610000000000003</v>
      </c>
      <c r="O43" s="11">
        <f>N43*Q4</f>
        <v>210.22506000000001</v>
      </c>
      <c r="P43" s="11">
        <f>N43*R4</f>
        <v>277.88061000000005</v>
      </c>
      <c r="Q43" s="50"/>
      <c r="R43" s="7"/>
      <c r="S43" s="36">
        <f>-(N43*Q4)</f>
        <v>-210.22506000000001</v>
      </c>
      <c r="T43" s="36">
        <f>-(N43*R4)</f>
        <v>-277.88061000000005</v>
      </c>
    </row>
    <row r="44" spans="1:20" x14ac:dyDescent="0.25">
      <c r="A44" s="5">
        <v>45627</v>
      </c>
      <c r="B44" s="6">
        <v>3907.2</v>
      </c>
      <c r="C44" s="6">
        <v>280</v>
      </c>
      <c r="D44" s="21" t="s">
        <v>64</v>
      </c>
      <c r="E44" s="6" t="s">
        <v>21</v>
      </c>
      <c r="F44" s="17">
        <v>518</v>
      </c>
      <c r="G44" s="17">
        <v>626.41</v>
      </c>
      <c r="H44" s="17"/>
      <c r="I44" s="17">
        <f t="shared" si="7"/>
        <v>-108.40999999999997</v>
      </c>
      <c r="J44" s="6"/>
      <c r="K44" s="6">
        <v>0</v>
      </c>
      <c r="L44" s="6"/>
      <c r="M44" s="6"/>
      <c r="N44" s="17">
        <v>8.9610000000000003</v>
      </c>
      <c r="O44" s="11">
        <f>N44*Q4</f>
        <v>210.22506000000001</v>
      </c>
      <c r="P44" s="11">
        <f>N44*R4</f>
        <v>277.88061000000005</v>
      </c>
      <c r="Q44" s="50"/>
      <c r="R44" s="7"/>
      <c r="S44" s="36">
        <f>-(N44*Q4)</f>
        <v>-210.22506000000001</v>
      </c>
      <c r="T44" s="36">
        <f>-(N44*R4)</f>
        <v>-277.88061000000005</v>
      </c>
    </row>
    <row r="45" spans="1:20" x14ac:dyDescent="0.25">
      <c r="B45" s="1"/>
      <c r="C45" s="1"/>
      <c r="N45" s="62">
        <f>SUM(N33:N44)</f>
        <v>107.532</v>
      </c>
      <c r="O45" s="39">
        <f>SUM(O33:O44)</f>
        <v>2399.0389200000004</v>
      </c>
      <c r="P45" s="39">
        <f>SUM(P33:P44)</f>
        <v>3227.5729800000013</v>
      </c>
      <c r="Q45" s="41"/>
      <c r="R45" s="41"/>
      <c r="S45" s="39">
        <f>SUM(S33:S44)</f>
        <v>-2399.0389200000004</v>
      </c>
      <c r="T45" s="39">
        <f>SUM(T33:T44)</f>
        <v>-3227.5729800000013</v>
      </c>
    </row>
    <row r="46" spans="1:20" x14ac:dyDescent="0.25">
      <c r="B46" s="1"/>
      <c r="C46" s="1"/>
      <c r="N46">
        <f>N45/2</f>
        <v>53.765999999999998</v>
      </c>
      <c r="O46" s="41"/>
      <c r="P46" s="41"/>
      <c r="Q46" s="41"/>
      <c r="R46" s="41" t="s">
        <v>41</v>
      </c>
      <c r="T46" s="41"/>
    </row>
    <row r="47" spans="1:20" x14ac:dyDescent="0.25">
      <c r="B47" s="1"/>
      <c r="C47" s="1"/>
      <c r="N47">
        <f>N45/2</f>
        <v>53.765999999999998</v>
      </c>
      <c r="O47" s="41"/>
      <c r="P47" s="41"/>
      <c r="Q47" s="41"/>
      <c r="R47" s="41"/>
      <c r="S47" s="41"/>
      <c r="T47" s="42">
        <f>S45+T45</f>
        <v>-5626.6119000000017</v>
      </c>
    </row>
  </sheetData>
  <sheetProtection algorithmName="SHA-512" hashValue="pQmNHTQW/pPoGiVAgAFRAOWGQ7B7DGhX0TkTOwFGB62ztFX7NIUuOwVW9pVLh9AKrrcGb/CbSNFkj9HCJOhp2A==" saltValue="anzaNqTsx6YjilysoAKBpw==" spinCount="100000" sheet="1" formatCells="0" formatColumns="0" formatRows="0" insertColumns="0" insertRows="0" insertHyperlinks="0" deleteColumns="0" deleteRows="0" sort="0" autoFilter="0" pivotTables="0"/>
  <mergeCells count="23">
    <mergeCell ref="J8:K8"/>
    <mergeCell ref="H3:M3"/>
    <mergeCell ref="H4:M4"/>
    <mergeCell ref="A1:Q1"/>
    <mergeCell ref="L5:L6"/>
    <mergeCell ref="M5:M6"/>
    <mergeCell ref="N5:N6"/>
    <mergeCell ref="O5:O6"/>
    <mergeCell ref="A3:D3"/>
    <mergeCell ref="A5:A6"/>
    <mergeCell ref="B5:B6"/>
    <mergeCell ref="C5:C6"/>
    <mergeCell ref="D5:D6"/>
    <mergeCell ref="E5:E6"/>
    <mergeCell ref="F5:F6"/>
    <mergeCell ref="T5:T6"/>
    <mergeCell ref="J5:K5"/>
    <mergeCell ref="G5:G6"/>
    <mergeCell ref="H5:H6"/>
    <mergeCell ref="Q5:R5"/>
    <mergeCell ref="I5:I6"/>
    <mergeCell ref="S5:S6"/>
    <mergeCell ref="P5:P6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zoomScale="70" zoomScaleNormal="70" workbookViewId="0">
      <selection activeCell="N11" sqref="N11"/>
    </sheetView>
  </sheetViews>
  <sheetFormatPr defaultRowHeight="15" x14ac:dyDescent="0.25"/>
  <cols>
    <col min="1" max="1" width="9.5703125" style="2" customWidth="1"/>
    <col min="2" max="2" width="17" customWidth="1"/>
    <col min="3" max="3" width="16.28515625" customWidth="1"/>
    <col min="4" max="4" width="19.28515625" customWidth="1"/>
    <col min="5" max="5" width="13.28515625" customWidth="1"/>
    <col min="6" max="6" width="21.7109375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25.140625" bestFit="1" customWidth="1"/>
    <col min="14" max="14" width="18" customWidth="1"/>
    <col min="15" max="15" width="17" customWidth="1"/>
    <col min="16" max="16" width="20.7109375" customWidth="1"/>
    <col min="17" max="17" width="21.7109375" customWidth="1"/>
    <col min="18" max="19" width="14.140625" customWidth="1"/>
    <col min="20" max="20" width="16.425781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2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2" x14ac:dyDescent="0.25">
      <c r="A2" s="27"/>
      <c r="B2" s="27"/>
      <c r="C2" s="27"/>
      <c r="D2" s="27"/>
      <c r="E2" s="27"/>
      <c r="F2" s="27"/>
      <c r="G2" s="27"/>
      <c r="H2" s="28"/>
      <c r="I2" s="28"/>
      <c r="J2" s="28"/>
      <c r="K2" s="28"/>
      <c r="L2" s="28"/>
      <c r="M2" s="28"/>
      <c r="N2" s="28"/>
      <c r="O2" s="29" t="s">
        <v>21</v>
      </c>
      <c r="P2" s="29" t="s">
        <v>33</v>
      </c>
      <c r="Q2" s="60" t="s">
        <v>21</v>
      </c>
      <c r="R2" s="60" t="s">
        <v>33</v>
      </c>
    </row>
    <row r="3" spans="1:22" ht="18.75" x14ac:dyDescent="0.25">
      <c r="A3" s="76" t="s">
        <v>17</v>
      </c>
      <c r="B3" s="76"/>
      <c r="C3" s="76"/>
      <c r="D3" s="76"/>
      <c r="H3" s="83" t="s">
        <v>32</v>
      </c>
      <c r="I3" s="83"/>
      <c r="J3" s="83"/>
      <c r="K3" s="83"/>
      <c r="L3" s="83"/>
      <c r="M3" s="84"/>
      <c r="N3" s="30" t="s">
        <v>13</v>
      </c>
      <c r="O3" s="31">
        <v>17.64</v>
      </c>
      <c r="P3" s="30">
        <v>26.93</v>
      </c>
      <c r="Q3" s="61">
        <v>21.16</v>
      </c>
      <c r="R3" s="57">
        <v>29.02</v>
      </c>
    </row>
    <row r="4" spans="1:22" x14ac:dyDescent="0.25">
      <c r="H4" s="85" t="s">
        <v>34</v>
      </c>
      <c r="I4" s="85"/>
      <c r="J4" s="85"/>
      <c r="K4" s="85"/>
      <c r="L4" s="85"/>
      <c r="M4" s="86"/>
      <c r="N4" s="30" t="s">
        <v>35</v>
      </c>
      <c r="O4" s="30">
        <v>21.16</v>
      </c>
      <c r="P4" s="30">
        <v>29.02</v>
      </c>
      <c r="Q4" s="57">
        <v>23.46</v>
      </c>
      <c r="R4" s="57">
        <v>31.01</v>
      </c>
    </row>
    <row r="5" spans="1:22" ht="83.25" customHeight="1" x14ac:dyDescent="0.25">
      <c r="A5" s="78" t="s">
        <v>3</v>
      </c>
      <c r="B5" s="78" t="s">
        <v>2</v>
      </c>
      <c r="C5" s="79" t="s">
        <v>10</v>
      </c>
      <c r="D5" s="78" t="s">
        <v>11</v>
      </c>
      <c r="E5" s="78" t="s">
        <v>0</v>
      </c>
      <c r="F5" s="78" t="s">
        <v>6</v>
      </c>
      <c r="G5" s="78" t="s">
        <v>7</v>
      </c>
      <c r="H5" s="78" t="s">
        <v>8</v>
      </c>
      <c r="I5" s="78" t="s">
        <v>9</v>
      </c>
      <c r="J5" s="78" t="s">
        <v>22</v>
      </c>
      <c r="K5" s="78"/>
      <c r="L5" s="78" t="s">
        <v>24</v>
      </c>
      <c r="M5" s="78" t="s">
        <v>25</v>
      </c>
      <c r="N5" s="79" t="s">
        <v>44</v>
      </c>
      <c r="O5" s="78" t="s">
        <v>26</v>
      </c>
      <c r="P5" s="78" t="s">
        <v>43</v>
      </c>
      <c r="Q5" s="78" t="s">
        <v>4</v>
      </c>
      <c r="R5" s="78"/>
      <c r="S5" s="78" t="s">
        <v>53</v>
      </c>
      <c r="T5" s="78" t="s">
        <v>52</v>
      </c>
    </row>
    <row r="6" spans="1:22" ht="92.25" customHeight="1" x14ac:dyDescent="0.25">
      <c r="A6" s="78"/>
      <c r="B6" s="78"/>
      <c r="C6" s="80"/>
      <c r="D6" s="78"/>
      <c r="E6" s="78"/>
      <c r="F6" s="78"/>
      <c r="G6" s="78"/>
      <c r="H6" s="78"/>
      <c r="I6" s="78"/>
      <c r="J6" s="3" t="s">
        <v>1</v>
      </c>
      <c r="K6" s="3" t="s">
        <v>23</v>
      </c>
      <c r="L6" s="78"/>
      <c r="M6" s="78"/>
      <c r="N6" s="80"/>
      <c r="O6" s="78"/>
      <c r="P6" s="78"/>
      <c r="Q6" s="3" t="s">
        <v>38</v>
      </c>
      <c r="R6" s="3" t="s">
        <v>39</v>
      </c>
      <c r="S6" s="78"/>
      <c r="T6" s="78"/>
    </row>
    <row r="7" spans="1:22" x14ac:dyDescent="0.25">
      <c r="A7" s="4">
        <v>1</v>
      </c>
      <c r="B7" s="4">
        <v>2</v>
      </c>
      <c r="C7" s="4">
        <v>3</v>
      </c>
      <c r="D7" s="10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</row>
    <row r="8" spans="1:22" hidden="1" x14ac:dyDescent="0.25">
      <c r="A8" s="5">
        <v>44805</v>
      </c>
      <c r="B8" s="8">
        <v>4689.3</v>
      </c>
      <c r="C8" s="8">
        <v>423.2</v>
      </c>
      <c r="D8" s="10">
        <v>14555428</v>
      </c>
      <c r="E8" s="8" t="s">
        <v>21</v>
      </c>
      <c r="F8" s="52">
        <v>792</v>
      </c>
      <c r="G8" s="23">
        <v>878.00800000000004</v>
      </c>
      <c r="H8" s="23"/>
      <c r="I8" s="16">
        <f t="shared" ref="I8:I11" si="0">F8-(G8+H8)</f>
        <v>-86.008000000000038</v>
      </c>
      <c r="J8" s="8"/>
      <c r="K8" s="37">
        <v>0</v>
      </c>
      <c r="L8" s="8"/>
      <c r="M8" s="8"/>
      <c r="N8" s="18">
        <v>13.542</v>
      </c>
      <c r="O8" s="9">
        <f>N8*O3</f>
        <v>238.88087999999999</v>
      </c>
      <c r="P8" s="9">
        <f>N8*P3</f>
        <v>364.68606</v>
      </c>
      <c r="Q8" s="23">
        <f>N8</f>
        <v>13.542</v>
      </c>
      <c r="R8" s="8"/>
      <c r="S8" s="36">
        <f>-(Q8*O3)</f>
        <v>-238.88087999999999</v>
      </c>
      <c r="T8" s="36">
        <f>-(Q8*P3)</f>
        <v>-364.68606</v>
      </c>
    </row>
    <row r="9" spans="1:22" hidden="1" x14ac:dyDescent="0.25">
      <c r="A9" s="5">
        <v>44835</v>
      </c>
      <c r="B9" s="8">
        <v>4689.3</v>
      </c>
      <c r="C9" s="8">
        <v>423.2</v>
      </c>
      <c r="D9" s="10">
        <v>14555428</v>
      </c>
      <c r="E9" s="8" t="s">
        <v>21</v>
      </c>
      <c r="F9" s="52">
        <v>667</v>
      </c>
      <c r="G9" s="23">
        <v>844.83500000000004</v>
      </c>
      <c r="H9" s="23"/>
      <c r="I9" s="16">
        <f t="shared" si="0"/>
        <v>-177.83500000000004</v>
      </c>
      <c r="J9" s="7"/>
      <c r="K9" s="7">
        <v>0</v>
      </c>
      <c r="L9" s="13"/>
      <c r="M9" s="13"/>
      <c r="N9" s="18">
        <v>13.542</v>
      </c>
      <c r="O9" s="9">
        <f>N9*O3</f>
        <v>238.88087999999999</v>
      </c>
      <c r="P9" s="9">
        <f>N9*P3</f>
        <v>364.68606</v>
      </c>
      <c r="Q9" s="23">
        <f t="shared" ref="Q9:Q11" si="1">N9</f>
        <v>13.542</v>
      </c>
      <c r="R9" s="7"/>
      <c r="S9" s="36">
        <f>-(Q9*O3)</f>
        <v>-238.88087999999999</v>
      </c>
      <c r="T9" s="36">
        <f>-(Q9*P3)</f>
        <v>-364.68606</v>
      </c>
    </row>
    <row r="10" spans="1:22" hidden="1" x14ac:dyDescent="0.25">
      <c r="A10" s="5">
        <v>44866</v>
      </c>
      <c r="B10" s="8">
        <v>4689.3</v>
      </c>
      <c r="C10" s="8">
        <v>423.2</v>
      </c>
      <c r="D10" s="10">
        <v>14555428</v>
      </c>
      <c r="E10" s="8" t="s">
        <v>21</v>
      </c>
      <c r="F10" s="53">
        <v>739</v>
      </c>
      <c r="G10" s="25">
        <v>795.8</v>
      </c>
      <c r="H10" s="24"/>
      <c r="I10" s="16">
        <f t="shared" si="0"/>
        <v>-56.799999999999955</v>
      </c>
      <c r="J10" s="7"/>
      <c r="K10" s="7">
        <v>0</v>
      </c>
      <c r="L10" s="7"/>
      <c r="M10" s="7"/>
      <c r="N10" s="18">
        <v>13.542</v>
      </c>
      <c r="O10" s="9">
        <f>N10*O3</f>
        <v>238.88087999999999</v>
      </c>
      <c r="P10" s="9">
        <f>N10*P3</f>
        <v>364.68606</v>
      </c>
      <c r="Q10" s="23">
        <f t="shared" si="1"/>
        <v>13.542</v>
      </c>
      <c r="R10" s="7"/>
      <c r="S10" s="36">
        <f>-(Q10*O3)</f>
        <v>-238.88087999999999</v>
      </c>
      <c r="T10" s="36">
        <f>-(Q10*P3)</f>
        <v>-364.68606</v>
      </c>
    </row>
    <row r="11" spans="1:22" hidden="1" x14ac:dyDescent="0.25">
      <c r="A11" s="5">
        <v>44896</v>
      </c>
      <c r="B11" s="6">
        <v>4689.3</v>
      </c>
      <c r="C11" s="6">
        <v>423.2</v>
      </c>
      <c r="D11" s="10">
        <v>14555428</v>
      </c>
      <c r="E11" s="6" t="s">
        <v>21</v>
      </c>
      <c r="F11" s="53">
        <v>691</v>
      </c>
      <c r="G11" s="25">
        <v>881.28800000000001</v>
      </c>
      <c r="H11" s="24"/>
      <c r="I11" s="17">
        <f t="shared" si="0"/>
        <v>-190.28800000000001</v>
      </c>
      <c r="J11" s="7"/>
      <c r="K11" s="7">
        <v>0</v>
      </c>
      <c r="L11" s="7"/>
      <c r="M11" s="7"/>
      <c r="N11" s="19">
        <v>13.542</v>
      </c>
      <c r="O11" s="11">
        <f>N11*O4</f>
        <v>286.54872</v>
      </c>
      <c r="P11" s="11">
        <f>N11*P4</f>
        <v>392.98883999999998</v>
      </c>
      <c r="Q11" s="25">
        <f t="shared" si="1"/>
        <v>13.542</v>
      </c>
      <c r="R11" s="7"/>
      <c r="S11" s="36">
        <f>-(Q11*O4)</f>
        <v>-286.54872</v>
      </c>
      <c r="T11" s="36">
        <f>-(Q11*P4)</f>
        <v>-392.98883999999998</v>
      </c>
    </row>
    <row r="12" spans="1:22" hidden="1" x14ac:dyDescent="0.25">
      <c r="B12" s="1"/>
      <c r="C12" s="1"/>
      <c r="F12" s="54"/>
      <c r="O12" s="39">
        <f>SUM(O8:O11)</f>
        <v>1003.19136</v>
      </c>
      <c r="P12" s="48">
        <f>SUM(P8:P11)</f>
        <v>1487.04702</v>
      </c>
      <c r="Q12" s="41"/>
      <c r="R12" s="41"/>
      <c r="S12" s="42">
        <f>SUM(S8:S11)</f>
        <v>-1003.19136</v>
      </c>
      <c r="T12" s="42">
        <f>SUM(T8:T11)</f>
        <v>-1487.04702</v>
      </c>
    </row>
    <row r="13" spans="1:22" hidden="1" x14ac:dyDescent="0.25">
      <c r="B13" s="1"/>
      <c r="C13" s="1"/>
      <c r="F13" s="54"/>
      <c r="O13" s="41"/>
      <c r="P13" s="41"/>
      <c r="Q13" s="41"/>
      <c r="R13" s="41" t="s">
        <v>41</v>
      </c>
      <c r="T13" s="41"/>
    </row>
    <row r="14" spans="1:22" hidden="1" x14ac:dyDescent="0.25">
      <c r="B14" s="1"/>
      <c r="C14" s="1"/>
      <c r="F14" s="54"/>
      <c r="O14" s="41"/>
      <c r="P14" s="41"/>
      <c r="Q14" s="41"/>
      <c r="R14" s="41"/>
      <c r="S14" s="41"/>
      <c r="T14" s="42">
        <f>S12+T12</f>
        <v>-2490.2383799999998</v>
      </c>
    </row>
    <row r="15" spans="1:22" hidden="1" x14ac:dyDescent="0.25">
      <c r="A15" s="5">
        <v>44927</v>
      </c>
      <c r="B15" s="6">
        <v>4689.3</v>
      </c>
      <c r="C15" s="6">
        <v>423.2</v>
      </c>
      <c r="D15" s="10">
        <v>14555428</v>
      </c>
      <c r="E15" s="6" t="s">
        <v>21</v>
      </c>
      <c r="F15" s="55">
        <v>818</v>
      </c>
      <c r="G15" s="17">
        <v>872.60299999999995</v>
      </c>
      <c r="H15" s="22"/>
      <c r="I15" s="17">
        <f t="shared" ref="I15:I26" si="2">F15-(G15+H15)</f>
        <v>-54.602999999999952</v>
      </c>
      <c r="J15" s="7"/>
      <c r="K15" s="6">
        <v>0</v>
      </c>
      <c r="L15" s="7"/>
      <c r="M15" s="7"/>
      <c r="N15" s="19">
        <v>13.542</v>
      </c>
      <c r="O15" s="11">
        <f>N15*O4</f>
        <v>286.54872</v>
      </c>
      <c r="P15" s="11">
        <f>N15*P4</f>
        <v>392.98883999999998</v>
      </c>
      <c r="Q15" s="25">
        <f t="shared" ref="Q15" si="3">N15</f>
        <v>13.542</v>
      </c>
      <c r="R15" s="7"/>
      <c r="S15" s="36">
        <f>-(Q15*O4)</f>
        <v>-286.54872</v>
      </c>
      <c r="T15" s="36">
        <f>-(Q15*P4)</f>
        <v>-392.98883999999998</v>
      </c>
    </row>
    <row r="16" spans="1:22" hidden="1" x14ac:dyDescent="0.25">
      <c r="A16" s="5">
        <v>44958</v>
      </c>
      <c r="B16" s="6">
        <v>4689.3</v>
      </c>
      <c r="C16" s="6">
        <v>423.2</v>
      </c>
      <c r="D16" s="10">
        <v>14555428</v>
      </c>
      <c r="E16" s="6" t="s">
        <v>21</v>
      </c>
      <c r="F16" s="55">
        <v>690</v>
      </c>
      <c r="G16" s="17">
        <v>1337.8620000000001</v>
      </c>
      <c r="H16" s="22"/>
      <c r="I16" s="17">
        <f t="shared" si="2"/>
        <v>-647.86200000000008</v>
      </c>
      <c r="J16" s="7"/>
      <c r="K16" s="6">
        <v>0</v>
      </c>
      <c r="L16" s="7"/>
      <c r="M16" s="7"/>
      <c r="N16" s="19">
        <v>13.542</v>
      </c>
      <c r="O16" s="11">
        <f>N16*O4</f>
        <v>286.54872</v>
      </c>
      <c r="P16" s="11">
        <f>N16*P4</f>
        <v>392.98883999999998</v>
      </c>
      <c r="Q16" s="25">
        <f t="shared" ref="Q16:Q26" si="4">N16</f>
        <v>13.542</v>
      </c>
      <c r="R16" s="7"/>
      <c r="S16" s="36">
        <f>-(Q16*O4)</f>
        <v>-286.54872</v>
      </c>
      <c r="T16" s="36">
        <f>-(Q16*P4)</f>
        <v>-392.98883999999998</v>
      </c>
      <c r="U16" s="41"/>
      <c r="V16" s="41"/>
    </row>
    <row r="17" spans="1:22" hidden="1" x14ac:dyDescent="0.25">
      <c r="A17" s="5">
        <v>44986</v>
      </c>
      <c r="B17" s="6">
        <v>4689.3</v>
      </c>
      <c r="C17" s="6">
        <v>423.2</v>
      </c>
      <c r="D17" s="10">
        <v>14555428</v>
      </c>
      <c r="E17" s="6" t="s">
        <v>21</v>
      </c>
      <c r="F17" s="55">
        <v>707</v>
      </c>
      <c r="G17" s="17">
        <v>690.95899999999995</v>
      </c>
      <c r="H17" s="22"/>
      <c r="I17" s="17">
        <f>F17-(G17+H17)</f>
        <v>16.041000000000054</v>
      </c>
      <c r="J17" s="7"/>
      <c r="K17" s="6">
        <v>0</v>
      </c>
      <c r="L17" s="7"/>
      <c r="M17" s="7"/>
      <c r="N17" s="19">
        <v>13.542</v>
      </c>
      <c r="O17" s="11">
        <f>N17*O4</f>
        <v>286.54872</v>
      </c>
      <c r="P17" s="11">
        <f>N17*P4</f>
        <v>392.98883999999998</v>
      </c>
      <c r="Q17" s="25">
        <f t="shared" si="4"/>
        <v>13.542</v>
      </c>
      <c r="R17" s="7"/>
      <c r="S17" s="36">
        <f>-(Q17*O4)</f>
        <v>-286.54872</v>
      </c>
      <c r="T17" s="36">
        <f>-(Q17*P4)</f>
        <v>-392.98883999999998</v>
      </c>
      <c r="U17" s="41"/>
      <c r="V17" s="41"/>
    </row>
    <row r="18" spans="1:22" hidden="1" x14ac:dyDescent="0.25">
      <c r="A18" s="5">
        <v>45017</v>
      </c>
      <c r="B18" s="6">
        <v>4689.3</v>
      </c>
      <c r="C18" s="6">
        <v>423.2</v>
      </c>
      <c r="D18" s="10">
        <v>14555428</v>
      </c>
      <c r="E18" s="6" t="s">
        <v>21</v>
      </c>
      <c r="F18" s="55">
        <v>758</v>
      </c>
      <c r="G18" s="17">
        <v>842.721</v>
      </c>
      <c r="H18" s="22"/>
      <c r="I18" s="17">
        <f t="shared" si="2"/>
        <v>-84.721000000000004</v>
      </c>
      <c r="J18" s="7"/>
      <c r="K18" s="6">
        <v>0</v>
      </c>
      <c r="L18" s="7"/>
      <c r="M18" s="7"/>
      <c r="N18" s="19">
        <v>13.542</v>
      </c>
      <c r="O18" s="11">
        <f>N18*O4</f>
        <v>286.54872</v>
      </c>
      <c r="P18" s="11">
        <f>N18*P4</f>
        <v>392.98883999999998</v>
      </c>
      <c r="Q18" s="25">
        <f t="shared" si="4"/>
        <v>13.542</v>
      </c>
      <c r="R18" s="7"/>
      <c r="S18" s="36">
        <f>-(Q18*O4)</f>
        <v>-286.54872</v>
      </c>
      <c r="T18" s="36">
        <f>-(Q18*P4)</f>
        <v>-392.98883999999998</v>
      </c>
    </row>
    <row r="19" spans="1:22" hidden="1" x14ac:dyDescent="0.25">
      <c r="A19" s="5">
        <v>45047</v>
      </c>
      <c r="B19" s="6">
        <v>4689.3</v>
      </c>
      <c r="C19" s="6">
        <v>423.2</v>
      </c>
      <c r="D19" s="10">
        <v>14555428</v>
      </c>
      <c r="E19" s="6" t="s">
        <v>21</v>
      </c>
      <c r="F19" s="55">
        <v>690</v>
      </c>
      <c r="G19" s="17">
        <v>1128.175</v>
      </c>
      <c r="H19" s="22"/>
      <c r="I19" s="17">
        <f t="shared" si="2"/>
        <v>-438.17499999999995</v>
      </c>
      <c r="J19" s="7"/>
      <c r="K19" s="6">
        <v>0</v>
      </c>
      <c r="L19" s="7"/>
      <c r="M19" s="7"/>
      <c r="N19" s="19">
        <v>13.542</v>
      </c>
      <c r="O19" s="11">
        <f>N19*O4</f>
        <v>286.54872</v>
      </c>
      <c r="P19" s="11">
        <f>N19*P4</f>
        <v>392.98883999999998</v>
      </c>
      <c r="Q19" s="25">
        <f t="shared" si="4"/>
        <v>13.542</v>
      </c>
      <c r="R19" s="7"/>
      <c r="S19" s="36">
        <f>-(Q19*O4)</f>
        <v>-286.54872</v>
      </c>
      <c r="T19" s="36">
        <f>-(Q19*P4)</f>
        <v>-392.98883999999998</v>
      </c>
    </row>
    <row r="20" spans="1:22" hidden="1" x14ac:dyDescent="0.25">
      <c r="A20" s="5">
        <v>45078</v>
      </c>
      <c r="B20" s="6">
        <v>4689.3</v>
      </c>
      <c r="C20" s="6">
        <v>423.2</v>
      </c>
      <c r="D20" s="10">
        <v>14555428</v>
      </c>
      <c r="E20" s="6" t="s">
        <v>21</v>
      </c>
      <c r="F20" s="55">
        <v>651</v>
      </c>
      <c r="G20" s="17">
        <v>807.48099999999999</v>
      </c>
      <c r="H20" s="22"/>
      <c r="I20" s="17">
        <f t="shared" si="2"/>
        <v>-156.48099999999999</v>
      </c>
      <c r="J20" s="7"/>
      <c r="K20" s="6">
        <v>0</v>
      </c>
      <c r="L20" s="7"/>
      <c r="M20" s="7"/>
      <c r="N20" s="19">
        <v>13.542</v>
      </c>
      <c r="O20" s="11">
        <f>N20*O4</f>
        <v>286.54872</v>
      </c>
      <c r="P20" s="11">
        <f>N20*P4</f>
        <v>392.98883999999998</v>
      </c>
      <c r="Q20" s="25">
        <f t="shared" si="4"/>
        <v>13.542</v>
      </c>
      <c r="R20" s="7"/>
      <c r="S20" s="36">
        <f>-(Q20*O4)</f>
        <v>-286.54872</v>
      </c>
      <c r="T20" s="36">
        <f>-(Q20*P4)</f>
        <v>-392.98883999999998</v>
      </c>
    </row>
    <row r="21" spans="1:22" hidden="1" x14ac:dyDescent="0.25">
      <c r="A21" s="5">
        <v>45108</v>
      </c>
      <c r="B21" s="6">
        <v>4689.3</v>
      </c>
      <c r="C21" s="6">
        <v>423.2</v>
      </c>
      <c r="D21" s="10">
        <v>14555428</v>
      </c>
      <c r="E21" s="6" t="s">
        <v>21</v>
      </c>
      <c r="F21" s="55">
        <v>650</v>
      </c>
      <c r="G21" s="17">
        <v>862.09500000000003</v>
      </c>
      <c r="H21" s="22"/>
      <c r="I21" s="17">
        <f t="shared" si="2"/>
        <v>-212.09500000000003</v>
      </c>
      <c r="J21" s="7"/>
      <c r="K21" s="6">
        <v>0</v>
      </c>
      <c r="L21" s="7"/>
      <c r="M21" s="7"/>
      <c r="N21" s="19">
        <v>13.542</v>
      </c>
      <c r="O21" s="11">
        <f>N21*O4</f>
        <v>286.54872</v>
      </c>
      <c r="P21" s="11">
        <f>N21*P4</f>
        <v>392.98883999999998</v>
      </c>
      <c r="Q21" s="25">
        <f t="shared" si="4"/>
        <v>13.542</v>
      </c>
      <c r="R21" s="7"/>
      <c r="S21" s="36">
        <f>-(Q21*O4)</f>
        <v>-286.54872</v>
      </c>
      <c r="T21" s="36">
        <f>-(Q21*P4)</f>
        <v>-392.98883999999998</v>
      </c>
    </row>
    <row r="22" spans="1:22" hidden="1" x14ac:dyDescent="0.25">
      <c r="A22" s="5">
        <v>45139</v>
      </c>
      <c r="B22" s="6">
        <v>4689.3</v>
      </c>
      <c r="C22" s="6">
        <v>423.2</v>
      </c>
      <c r="D22" s="10">
        <v>14555428</v>
      </c>
      <c r="E22" s="6" t="s">
        <v>21</v>
      </c>
      <c r="F22" s="55">
        <v>799</v>
      </c>
      <c r="G22" s="17">
        <v>873.86599999999999</v>
      </c>
      <c r="H22" s="22"/>
      <c r="I22" s="17">
        <f t="shared" si="2"/>
        <v>-74.865999999999985</v>
      </c>
      <c r="J22" s="7"/>
      <c r="K22" s="6">
        <v>0</v>
      </c>
      <c r="L22" s="7"/>
      <c r="M22" s="7"/>
      <c r="N22" s="19">
        <v>13.542</v>
      </c>
      <c r="O22" s="11">
        <f>N22*O4</f>
        <v>286.54872</v>
      </c>
      <c r="P22" s="11">
        <f>N22*P4</f>
        <v>392.98883999999998</v>
      </c>
      <c r="Q22" s="25">
        <f t="shared" si="4"/>
        <v>13.542</v>
      </c>
      <c r="R22" s="7"/>
      <c r="S22" s="36">
        <f>-(Q22*O4)</f>
        <v>-286.54872</v>
      </c>
      <c r="T22" s="36">
        <f>-(Q22*P4)</f>
        <v>-392.98883999999998</v>
      </c>
    </row>
    <row r="23" spans="1:22" hidden="1" x14ac:dyDescent="0.25">
      <c r="A23" s="5">
        <v>45170</v>
      </c>
      <c r="B23" s="6">
        <v>4689.3</v>
      </c>
      <c r="C23" s="6">
        <v>423.2</v>
      </c>
      <c r="D23" s="10">
        <v>14555428</v>
      </c>
      <c r="E23" s="6" t="s">
        <v>21</v>
      </c>
      <c r="F23" s="55">
        <v>664</v>
      </c>
      <c r="G23" s="17">
        <v>891.47500000000002</v>
      </c>
      <c r="H23" s="22"/>
      <c r="I23" s="17">
        <f t="shared" si="2"/>
        <v>-227.47500000000002</v>
      </c>
      <c r="J23" s="7"/>
      <c r="K23" s="6">
        <v>0</v>
      </c>
      <c r="L23" s="7"/>
      <c r="M23" s="7"/>
      <c r="N23" s="19">
        <v>13.542</v>
      </c>
      <c r="O23" s="11">
        <f>N23*O4</f>
        <v>286.54872</v>
      </c>
      <c r="P23" s="11">
        <f>N23*P4</f>
        <v>392.98883999999998</v>
      </c>
      <c r="Q23" s="25">
        <f t="shared" si="4"/>
        <v>13.542</v>
      </c>
      <c r="R23" s="7"/>
      <c r="S23" s="36">
        <f>-(Q23*O4)</f>
        <v>-286.54872</v>
      </c>
      <c r="T23" s="36">
        <f>-(Q23*P4)</f>
        <v>-392.98883999999998</v>
      </c>
    </row>
    <row r="24" spans="1:22" hidden="1" x14ac:dyDescent="0.25">
      <c r="A24" s="5">
        <v>45200</v>
      </c>
      <c r="B24" s="6">
        <v>4689.3</v>
      </c>
      <c r="C24" s="6">
        <v>423.2</v>
      </c>
      <c r="D24" s="10">
        <v>14555428</v>
      </c>
      <c r="E24" s="6" t="s">
        <v>21</v>
      </c>
      <c r="F24" s="55">
        <v>753</v>
      </c>
      <c r="G24" s="17">
        <v>858.85599999999999</v>
      </c>
      <c r="H24" s="22"/>
      <c r="I24" s="17">
        <f t="shared" si="2"/>
        <v>-105.85599999999999</v>
      </c>
      <c r="J24" s="7"/>
      <c r="K24" s="6">
        <v>0</v>
      </c>
      <c r="L24" s="7"/>
      <c r="M24" s="7"/>
      <c r="N24" s="19">
        <v>13.542</v>
      </c>
      <c r="O24" s="11">
        <f>N24*O4</f>
        <v>286.54872</v>
      </c>
      <c r="P24" s="11">
        <f>N24*P4</f>
        <v>392.98883999999998</v>
      </c>
      <c r="Q24" s="25">
        <f t="shared" si="4"/>
        <v>13.542</v>
      </c>
      <c r="R24" s="7"/>
      <c r="S24" s="36">
        <f>-(Q24*O4)</f>
        <v>-286.54872</v>
      </c>
      <c r="T24" s="36">
        <f>-(Q24*P4)</f>
        <v>-392.98883999999998</v>
      </c>
    </row>
    <row r="25" spans="1:22" hidden="1" x14ac:dyDescent="0.25">
      <c r="A25" s="5">
        <v>45231</v>
      </c>
      <c r="B25" s="6">
        <v>4689.3</v>
      </c>
      <c r="C25" s="6">
        <v>423.2</v>
      </c>
      <c r="D25" s="10">
        <v>14555428</v>
      </c>
      <c r="E25" s="6" t="s">
        <v>21</v>
      </c>
      <c r="F25" s="55">
        <v>741</v>
      </c>
      <c r="G25" s="17">
        <v>875.31399999999996</v>
      </c>
      <c r="H25" s="22"/>
      <c r="I25" s="17">
        <f t="shared" si="2"/>
        <v>-134.31399999999996</v>
      </c>
      <c r="J25" s="7"/>
      <c r="K25" s="6">
        <v>0</v>
      </c>
      <c r="L25" s="7"/>
      <c r="M25" s="7"/>
      <c r="N25" s="19">
        <v>13.542</v>
      </c>
      <c r="O25" s="11">
        <f>N25*O4</f>
        <v>286.54872</v>
      </c>
      <c r="P25" s="11">
        <f>N25*P4</f>
        <v>392.98883999999998</v>
      </c>
      <c r="Q25" s="25">
        <f t="shared" si="4"/>
        <v>13.542</v>
      </c>
      <c r="R25" s="7"/>
      <c r="S25" s="36">
        <f>-(Q25*O4)</f>
        <v>-286.54872</v>
      </c>
      <c r="T25" s="36">
        <f>-(Q25*P4)</f>
        <v>-392.98883999999998</v>
      </c>
    </row>
    <row r="26" spans="1:22" hidden="1" x14ac:dyDescent="0.25">
      <c r="A26" s="5">
        <v>45261</v>
      </c>
      <c r="B26" s="6">
        <v>4689.3</v>
      </c>
      <c r="C26" s="6">
        <v>423.2</v>
      </c>
      <c r="D26" s="10">
        <v>14555428</v>
      </c>
      <c r="E26" s="6" t="s">
        <v>21</v>
      </c>
      <c r="F26" s="55">
        <v>703</v>
      </c>
      <c r="G26" s="17">
        <v>931.75599999999997</v>
      </c>
      <c r="H26" s="22"/>
      <c r="I26" s="17">
        <f t="shared" si="2"/>
        <v>-228.75599999999997</v>
      </c>
      <c r="J26" s="7"/>
      <c r="K26" s="6">
        <v>0</v>
      </c>
      <c r="L26" s="7"/>
      <c r="M26" s="7"/>
      <c r="N26" s="19">
        <v>13.542</v>
      </c>
      <c r="O26" s="11">
        <f>N26*O4</f>
        <v>286.54872</v>
      </c>
      <c r="P26" s="11">
        <f>N26*P4</f>
        <v>392.98883999999998</v>
      </c>
      <c r="Q26" s="25">
        <f t="shared" si="4"/>
        <v>13.542</v>
      </c>
      <c r="R26" s="7"/>
      <c r="S26" s="36">
        <f>-(Q26*O4)</f>
        <v>-286.54872</v>
      </c>
      <c r="T26" s="36">
        <f>-(Q26*P4)</f>
        <v>-392.98883999999998</v>
      </c>
    </row>
    <row r="27" spans="1:22" hidden="1" x14ac:dyDescent="0.25">
      <c r="B27" s="1"/>
      <c r="C27" s="1"/>
      <c r="F27" s="54"/>
      <c r="O27" s="39">
        <f>SUM(O15:O26)</f>
        <v>3438.5846399999991</v>
      </c>
      <c r="P27" s="39">
        <f>SUM(P15:P26)</f>
        <v>4715.8660799999998</v>
      </c>
      <c r="Q27" s="41"/>
      <c r="R27" s="41"/>
      <c r="S27" s="39">
        <f>SUM(S15:S26)</f>
        <v>-3438.5846399999991</v>
      </c>
      <c r="T27" s="39">
        <f>SUM(T15:T26)</f>
        <v>-4715.8660799999998</v>
      </c>
    </row>
    <row r="28" spans="1:22" hidden="1" x14ac:dyDescent="0.25">
      <c r="B28" s="1"/>
      <c r="C28" s="1"/>
      <c r="F28" s="54"/>
      <c r="O28" s="41"/>
      <c r="P28" s="41"/>
      <c r="Q28" s="41"/>
      <c r="R28" s="41" t="s">
        <v>41</v>
      </c>
      <c r="T28" s="41"/>
    </row>
    <row r="29" spans="1:22" hidden="1" x14ac:dyDescent="0.25">
      <c r="B29" s="1"/>
      <c r="C29" s="1"/>
      <c r="F29" s="54"/>
      <c r="O29" s="41"/>
      <c r="P29" s="41"/>
      <c r="Q29" s="41"/>
      <c r="R29" s="41"/>
      <c r="S29" s="41"/>
      <c r="T29" s="42">
        <f>S27+T27</f>
        <v>-8154.4507199999989</v>
      </c>
    </row>
    <row r="30" spans="1:22" hidden="1" x14ac:dyDescent="0.25">
      <c r="F30" s="54"/>
    </row>
    <row r="31" spans="1:22" hidden="1" x14ac:dyDescent="0.25">
      <c r="F31" s="54"/>
    </row>
    <row r="32" spans="1:22" hidden="1" x14ac:dyDescent="0.25">
      <c r="F32" s="54"/>
    </row>
    <row r="33" spans="1:20" x14ac:dyDescent="0.25">
      <c r="A33" s="5">
        <v>45292</v>
      </c>
      <c r="B33" s="6">
        <v>4689.3</v>
      </c>
      <c r="C33" s="6">
        <v>423.2</v>
      </c>
      <c r="D33" s="21" t="s">
        <v>27</v>
      </c>
      <c r="E33" s="6" t="s">
        <v>21</v>
      </c>
      <c r="F33" s="55">
        <v>752</v>
      </c>
      <c r="G33" s="17">
        <v>905.62599999999998</v>
      </c>
      <c r="H33" s="17"/>
      <c r="I33" s="17">
        <f>F33-(G33+H33)</f>
        <v>-153.62599999999998</v>
      </c>
      <c r="J33" s="6"/>
      <c r="K33" s="6">
        <v>0</v>
      </c>
      <c r="L33" s="6"/>
      <c r="M33" s="6"/>
      <c r="N33" s="19">
        <v>13.542</v>
      </c>
      <c r="O33" s="11">
        <f>N33*Q3</f>
        <v>286.54872</v>
      </c>
      <c r="P33" s="11">
        <f>N33*R3</f>
        <v>392.98883999999998</v>
      </c>
      <c r="Q33" s="50"/>
      <c r="R33" s="50"/>
      <c r="S33" s="36">
        <f>-(N33*Q3)</f>
        <v>-286.54872</v>
      </c>
      <c r="T33" s="36">
        <f>-(N33*R3)</f>
        <v>-392.98883999999998</v>
      </c>
    </row>
    <row r="34" spans="1:20" x14ac:dyDescent="0.25">
      <c r="A34" s="5">
        <v>45323</v>
      </c>
      <c r="B34" s="6">
        <v>4689.3</v>
      </c>
      <c r="C34" s="6">
        <v>423.2</v>
      </c>
      <c r="D34" s="21" t="s">
        <v>54</v>
      </c>
      <c r="E34" s="6" t="s">
        <v>21</v>
      </c>
      <c r="F34" s="55">
        <v>657</v>
      </c>
      <c r="G34" s="17">
        <v>920.54</v>
      </c>
      <c r="H34" s="17"/>
      <c r="I34" s="17">
        <f t="shared" ref="I34" si="5">F34-(G34+H34)</f>
        <v>-263.53999999999996</v>
      </c>
      <c r="J34" s="6"/>
      <c r="K34" s="6">
        <v>0</v>
      </c>
      <c r="L34" s="6"/>
      <c r="M34" s="6"/>
      <c r="N34" s="19">
        <v>13.542</v>
      </c>
      <c r="O34" s="11">
        <f>N34*Q3</f>
        <v>286.54872</v>
      </c>
      <c r="P34" s="11">
        <f>N34*R3</f>
        <v>392.98883999999998</v>
      </c>
      <c r="Q34" s="50"/>
      <c r="R34" s="22"/>
      <c r="S34" s="36">
        <f>-(N34*Q3)</f>
        <v>-286.54872</v>
      </c>
      <c r="T34" s="36">
        <f>-(N34*R3)</f>
        <v>-392.98883999999998</v>
      </c>
    </row>
    <row r="35" spans="1:20" x14ac:dyDescent="0.25">
      <c r="A35" s="5">
        <v>45352</v>
      </c>
      <c r="B35" s="6">
        <v>4689.3</v>
      </c>
      <c r="C35" s="6">
        <v>423.2</v>
      </c>
      <c r="D35" s="21" t="s">
        <v>55</v>
      </c>
      <c r="E35" s="6" t="s">
        <v>21</v>
      </c>
      <c r="F35" s="55">
        <v>676</v>
      </c>
      <c r="G35" s="17">
        <v>932.17700000000002</v>
      </c>
      <c r="H35" s="17"/>
      <c r="I35" s="17">
        <f t="shared" ref="I35:I44" si="6">F35-(G35+H35)</f>
        <v>-256.17700000000002</v>
      </c>
      <c r="J35" s="6"/>
      <c r="K35" s="6">
        <v>0</v>
      </c>
      <c r="L35" s="6"/>
      <c r="M35" s="6"/>
      <c r="N35" s="19">
        <v>13.542</v>
      </c>
      <c r="O35" s="11">
        <f>N35*Q3</f>
        <v>286.54872</v>
      </c>
      <c r="P35" s="11">
        <f>N35*R3</f>
        <v>392.98883999999998</v>
      </c>
      <c r="Q35" s="50"/>
      <c r="R35" s="7"/>
      <c r="S35" s="36">
        <f>-(N35*Q3)</f>
        <v>-286.54872</v>
      </c>
      <c r="T35" s="36">
        <f>-(N35*R3)</f>
        <v>-392.98883999999998</v>
      </c>
    </row>
    <row r="36" spans="1:20" x14ac:dyDescent="0.25">
      <c r="A36" s="5">
        <v>45383</v>
      </c>
      <c r="B36" s="6">
        <v>4689.3</v>
      </c>
      <c r="C36" s="6">
        <v>423.2</v>
      </c>
      <c r="D36" s="21" t="s">
        <v>56</v>
      </c>
      <c r="E36" s="6" t="s">
        <v>21</v>
      </c>
      <c r="F36" s="55">
        <v>709</v>
      </c>
      <c r="G36" s="17">
        <v>915.98500000000001</v>
      </c>
      <c r="H36" s="17"/>
      <c r="I36" s="17">
        <f t="shared" si="6"/>
        <v>-206.98500000000001</v>
      </c>
      <c r="J36" s="6"/>
      <c r="K36" s="6">
        <v>0</v>
      </c>
      <c r="L36" s="6"/>
      <c r="M36" s="6"/>
      <c r="N36" s="19">
        <v>13.542</v>
      </c>
      <c r="O36" s="11">
        <f>N36*Q3</f>
        <v>286.54872</v>
      </c>
      <c r="P36" s="11">
        <f>N36*R3</f>
        <v>392.98883999999998</v>
      </c>
      <c r="Q36" s="50"/>
      <c r="R36" s="7"/>
      <c r="S36" s="36">
        <f>-(N36*Q3)</f>
        <v>-286.54872</v>
      </c>
      <c r="T36" s="36">
        <f>-(N36*R3)</f>
        <v>-392.98883999999998</v>
      </c>
    </row>
    <row r="37" spans="1:20" x14ac:dyDescent="0.25">
      <c r="A37" s="5">
        <v>45413</v>
      </c>
      <c r="B37" s="6">
        <v>4689.3</v>
      </c>
      <c r="C37" s="6">
        <v>423.2</v>
      </c>
      <c r="D37" s="21" t="s">
        <v>57</v>
      </c>
      <c r="E37" s="6" t="s">
        <v>21</v>
      </c>
      <c r="F37" s="55">
        <v>620</v>
      </c>
      <c r="G37" s="17">
        <v>914.33299999999997</v>
      </c>
      <c r="H37" s="17"/>
      <c r="I37" s="17">
        <f t="shared" si="6"/>
        <v>-294.33299999999997</v>
      </c>
      <c r="J37" s="6"/>
      <c r="K37" s="6">
        <v>0</v>
      </c>
      <c r="L37" s="6"/>
      <c r="M37" s="6"/>
      <c r="N37" s="19">
        <v>13.542</v>
      </c>
      <c r="O37" s="11">
        <f>N37*Q3</f>
        <v>286.54872</v>
      </c>
      <c r="P37" s="11">
        <f>N37*R3</f>
        <v>392.98883999999998</v>
      </c>
      <c r="Q37" s="50"/>
      <c r="R37" s="7"/>
      <c r="S37" s="36">
        <f>-(N37*Q3)</f>
        <v>-286.54872</v>
      </c>
      <c r="T37" s="36">
        <f>-(N37*R3)</f>
        <v>-392.98883999999998</v>
      </c>
    </row>
    <row r="38" spans="1:20" x14ac:dyDescent="0.25">
      <c r="A38" s="5">
        <v>45444</v>
      </c>
      <c r="B38" s="6">
        <v>4689.3</v>
      </c>
      <c r="C38" s="6">
        <v>423.2</v>
      </c>
      <c r="D38" s="21" t="s">
        <v>58</v>
      </c>
      <c r="E38" s="6" t="s">
        <v>21</v>
      </c>
      <c r="F38" s="17">
        <v>546</v>
      </c>
      <c r="G38" s="17">
        <v>882.625</v>
      </c>
      <c r="H38" s="17"/>
      <c r="I38" s="17">
        <f t="shared" si="6"/>
        <v>-336.625</v>
      </c>
      <c r="J38" s="6"/>
      <c r="K38" s="6">
        <v>0</v>
      </c>
      <c r="L38" s="6"/>
      <c r="M38" s="6"/>
      <c r="N38" s="19">
        <v>13.542</v>
      </c>
      <c r="O38" s="11">
        <f>N38*Q3</f>
        <v>286.54872</v>
      </c>
      <c r="P38" s="11">
        <f>N38*R3</f>
        <v>392.98883999999998</v>
      </c>
      <c r="Q38" s="50"/>
      <c r="R38" s="7"/>
      <c r="S38" s="36">
        <f>-(N38*Q3)</f>
        <v>-286.54872</v>
      </c>
      <c r="T38" s="36">
        <f>-(N38*R3)</f>
        <v>-392.98883999999998</v>
      </c>
    </row>
    <row r="39" spans="1:20" x14ac:dyDescent="0.25">
      <c r="A39" s="5">
        <v>45474</v>
      </c>
      <c r="B39" s="6">
        <v>4689.3</v>
      </c>
      <c r="C39" s="6">
        <v>423.2</v>
      </c>
      <c r="D39" s="21" t="s">
        <v>59</v>
      </c>
      <c r="E39" s="6" t="s">
        <v>21</v>
      </c>
      <c r="F39" s="17">
        <v>678</v>
      </c>
      <c r="G39" s="17">
        <v>866.96900000000005</v>
      </c>
      <c r="H39" s="17"/>
      <c r="I39" s="17">
        <f t="shared" si="6"/>
        <v>-188.96900000000005</v>
      </c>
      <c r="J39" s="6"/>
      <c r="K39" s="6">
        <v>0</v>
      </c>
      <c r="L39" s="6"/>
      <c r="M39" s="6"/>
      <c r="N39" s="19">
        <v>13.542</v>
      </c>
      <c r="O39" s="11">
        <f>N39*Q4</f>
        <v>317.69531999999998</v>
      </c>
      <c r="P39" s="11">
        <f>N39*R4</f>
        <v>419.93742000000003</v>
      </c>
      <c r="Q39" s="50"/>
      <c r="R39" s="7"/>
      <c r="S39" s="36">
        <f>-(N39*Q4)</f>
        <v>-317.69531999999998</v>
      </c>
      <c r="T39" s="36">
        <f>-(N39*R4)</f>
        <v>-419.93742000000003</v>
      </c>
    </row>
    <row r="40" spans="1:20" x14ac:dyDescent="0.25">
      <c r="A40" s="5">
        <v>45505</v>
      </c>
      <c r="B40" s="6">
        <v>4689.3</v>
      </c>
      <c r="C40" s="6">
        <v>423.2</v>
      </c>
      <c r="D40" s="21" t="s">
        <v>60</v>
      </c>
      <c r="E40" s="6" t="s">
        <v>21</v>
      </c>
      <c r="F40" s="17">
        <v>718</v>
      </c>
      <c r="G40" s="17">
        <v>943.86199999999997</v>
      </c>
      <c r="H40" s="17"/>
      <c r="I40" s="17">
        <f t="shared" si="6"/>
        <v>-225.86199999999997</v>
      </c>
      <c r="J40" s="6"/>
      <c r="K40" s="6">
        <v>0</v>
      </c>
      <c r="L40" s="6"/>
      <c r="M40" s="6"/>
      <c r="N40" s="19">
        <v>13.542</v>
      </c>
      <c r="O40" s="11">
        <f>N40*Q4</f>
        <v>317.69531999999998</v>
      </c>
      <c r="P40" s="11">
        <f>N40*R4</f>
        <v>419.93742000000003</v>
      </c>
      <c r="Q40" s="50"/>
      <c r="R40" s="7"/>
      <c r="S40" s="36">
        <f>-(N40*Q4)</f>
        <v>-317.69531999999998</v>
      </c>
      <c r="T40" s="36">
        <f>-(N40*R4)</f>
        <v>-419.93742000000003</v>
      </c>
    </row>
    <row r="41" spans="1:20" x14ac:dyDescent="0.25">
      <c r="A41" s="5">
        <v>45536</v>
      </c>
      <c r="B41" s="6">
        <v>4689.3</v>
      </c>
      <c r="C41" s="6">
        <v>423.2</v>
      </c>
      <c r="D41" s="21" t="s">
        <v>61</v>
      </c>
      <c r="E41" s="6" t="s">
        <v>21</v>
      </c>
      <c r="F41" s="17">
        <v>692</v>
      </c>
      <c r="G41" s="17">
        <v>911.22</v>
      </c>
      <c r="H41" s="17"/>
      <c r="I41" s="17">
        <f t="shared" si="6"/>
        <v>-219.22000000000003</v>
      </c>
      <c r="J41" s="6"/>
      <c r="K41" s="6">
        <v>0</v>
      </c>
      <c r="L41" s="6"/>
      <c r="M41" s="6"/>
      <c r="N41" s="19">
        <v>13.542</v>
      </c>
      <c r="O41" s="11">
        <f>N41*Q4</f>
        <v>317.69531999999998</v>
      </c>
      <c r="P41" s="11">
        <f>N41*R4</f>
        <v>419.93742000000003</v>
      </c>
      <c r="Q41" s="50"/>
      <c r="R41" s="7"/>
      <c r="S41" s="36">
        <f>-(N41*Q4)</f>
        <v>-317.69531999999998</v>
      </c>
      <c r="T41" s="36">
        <f>-(N41*R4)</f>
        <v>-419.93742000000003</v>
      </c>
    </row>
    <row r="42" spans="1:20" x14ac:dyDescent="0.25">
      <c r="A42" s="5">
        <v>45566</v>
      </c>
      <c r="B42" s="6">
        <v>4689.3</v>
      </c>
      <c r="C42" s="6">
        <v>423.2</v>
      </c>
      <c r="D42" s="21" t="s">
        <v>62</v>
      </c>
      <c r="E42" s="6" t="s">
        <v>21</v>
      </c>
      <c r="F42" s="17">
        <v>692</v>
      </c>
      <c r="G42" s="17">
        <v>916.47199999999998</v>
      </c>
      <c r="H42" s="17"/>
      <c r="I42" s="17">
        <f t="shared" si="6"/>
        <v>-224.47199999999998</v>
      </c>
      <c r="J42" s="6"/>
      <c r="K42" s="6">
        <v>0</v>
      </c>
      <c r="L42" s="6"/>
      <c r="M42" s="6"/>
      <c r="N42" s="19">
        <v>13.542</v>
      </c>
      <c r="O42" s="11">
        <f>N42*Q4</f>
        <v>317.69531999999998</v>
      </c>
      <c r="P42" s="11">
        <f>N42*R4</f>
        <v>419.93742000000003</v>
      </c>
      <c r="Q42" s="50"/>
      <c r="R42" s="7"/>
      <c r="S42" s="36">
        <f>-(N42*Q4)</f>
        <v>-317.69531999999998</v>
      </c>
      <c r="T42" s="36">
        <f>-(N42*R4)</f>
        <v>-419.93742000000003</v>
      </c>
    </row>
    <row r="43" spans="1:20" x14ac:dyDescent="0.25">
      <c r="A43" s="5">
        <v>45597</v>
      </c>
      <c r="B43" s="6">
        <v>4689.3</v>
      </c>
      <c r="C43" s="6">
        <v>423.2</v>
      </c>
      <c r="D43" s="21" t="s">
        <v>63</v>
      </c>
      <c r="E43" s="6" t="s">
        <v>21</v>
      </c>
      <c r="F43" s="17">
        <v>676</v>
      </c>
      <c r="G43" s="17">
        <v>945.98</v>
      </c>
      <c r="H43" s="17"/>
      <c r="I43" s="17">
        <f t="shared" si="6"/>
        <v>-269.98</v>
      </c>
      <c r="J43" s="6"/>
      <c r="K43" s="6">
        <v>0</v>
      </c>
      <c r="L43" s="6"/>
      <c r="M43" s="6"/>
      <c r="N43" s="19">
        <v>13.542</v>
      </c>
      <c r="O43" s="11">
        <f>N43*Q4</f>
        <v>317.69531999999998</v>
      </c>
      <c r="P43" s="11">
        <f>N43*R4</f>
        <v>419.93742000000003</v>
      </c>
      <c r="Q43" s="50"/>
      <c r="R43" s="7"/>
      <c r="S43" s="36">
        <f>-(N43*Q4)</f>
        <v>-317.69531999999998</v>
      </c>
      <c r="T43" s="36">
        <f>-(N43*R4)</f>
        <v>-419.93742000000003</v>
      </c>
    </row>
    <row r="44" spans="1:20" x14ac:dyDescent="0.25">
      <c r="A44" s="5">
        <v>45627</v>
      </c>
      <c r="B44" s="6">
        <v>4689.3</v>
      </c>
      <c r="C44" s="6">
        <v>423.2</v>
      </c>
      <c r="D44" s="21" t="s">
        <v>64</v>
      </c>
      <c r="E44" s="6" t="s">
        <v>21</v>
      </c>
      <c r="F44" s="17">
        <v>733</v>
      </c>
      <c r="G44" s="17">
        <v>891.87300000000005</v>
      </c>
      <c r="H44" s="17"/>
      <c r="I44" s="17">
        <f t="shared" si="6"/>
        <v>-158.87300000000005</v>
      </c>
      <c r="J44" s="6"/>
      <c r="K44" s="6">
        <v>0</v>
      </c>
      <c r="L44" s="6"/>
      <c r="M44" s="6"/>
      <c r="N44" s="19">
        <v>13.542</v>
      </c>
      <c r="O44" s="11">
        <f>N44*Q4</f>
        <v>317.69531999999998</v>
      </c>
      <c r="P44" s="11">
        <f>N44*R4</f>
        <v>419.93742000000003</v>
      </c>
      <c r="Q44" s="50"/>
      <c r="R44" s="7"/>
      <c r="S44" s="36">
        <f>-(N44*Q4)</f>
        <v>-317.69531999999998</v>
      </c>
      <c r="T44" s="36">
        <f>-(N44*R4)</f>
        <v>-419.93742000000003</v>
      </c>
    </row>
    <row r="45" spans="1:20" x14ac:dyDescent="0.25">
      <c r="B45" s="1"/>
      <c r="C45" s="1"/>
      <c r="N45" s="62">
        <f>SUM(N33:N44)</f>
        <v>162.50399999999999</v>
      </c>
      <c r="O45" s="39">
        <f>SUM(O33:O44)</f>
        <v>3625.4642399999993</v>
      </c>
      <c r="P45" s="39">
        <f>SUM(P33:P44)</f>
        <v>4877.5575600000011</v>
      </c>
      <c r="Q45" s="41"/>
      <c r="R45" s="41"/>
      <c r="S45" s="39">
        <f>SUM(S33:S44)</f>
        <v>-3625.4642399999993</v>
      </c>
      <c r="T45" s="39">
        <f>SUM(T33:T44)</f>
        <v>-4877.5575600000011</v>
      </c>
    </row>
    <row r="46" spans="1:20" x14ac:dyDescent="0.25">
      <c r="B46" s="1"/>
      <c r="C46" s="1"/>
      <c r="N46">
        <f>N45/2</f>
        <v>81.251999999999995</v>
      </c>
      <c r="O46" s="41"/>
      <c r="P46" s="41"/>
      <c r="Q46" s="41"/>
      <c r="R46" s="41" t="s">
        <v>41</v>
      </c>
      <c r="T46" s="41"/>
    </row>
    <row r="47" spans="1:20" x14ac:dyDescent="0.25">
      <c r="B47" s="1"/>
      <c r="C47" s="1"/>
      <c r="N47">
        <f>N45/2</f>
        <v>81.251999999999995</v>
      </c>
      <c r="O47" s="41"/>
      <c r="P47" s="41"/>
      <c r="Q47" s="41"/>
      <c r="R47" s="41"/>
      <c r="S47" s="41"/>
      <c r="T47" s="42">
        <f>S45+T45</f>
        <v>-8503.0218000000004</v>
      </c>
    </row>
  </sheetData>
  <sheetProtection algorithmName="SHA-512" hashValue="9w8HNwItVJc2GydUbbCx/qQuOSKyUiwDA6SpgqD9SPlHRw/LzxzeEzb+jhiS/iLIt2ewHXZJyiqmMXsG6po4vA==" saltValue="/nvOH54IqeT4ix2Ov2bYNA==" spinCount="100000" sheet="1" formatCells="0" formatColumns="0" formatRows="0" insertColumns="0" insertRows="0" insertHyperlinks="0" deleteColumns="0" deleteRows="0" sort="0" autoFilter="0" pivotTables="0"/>
  <mergeCells count="22">
    <mergeCell ref="H3:M3"/>
    <mergeCell ref="H4:M4"/>
    <mergeCell ref="A1:Q1"/>
    <mergeCell ref="M5:M6"/>
    <mergeCell ref="N5:N6"/>
    <mergeCell ref="O5:O6"/>
    <mergeCell ref="A3:D3"/>
    <mergeCell ref="A5:A6"/>
    <mergeCell ref="B5:B6"/>
    <mergeCell ref="C5:C6"/>
    <mergeCell ref="D5:D6"/>
    <mergeCell ref="E5:E6"/>
    <mergeCell ref="F5:F6"/>
    <mergeCell ref="G5:G6"/>
    <mergeCell ref="H5:H6"/>
    <mergeCell ref="Q5:R5"/>
    <mergeCell ref="I5:I6"/>
    <mergeCell ref="J5:K5"/>
    <mergeCell ref="S5:S6"/>
    <mergeCell ref="T5:T6"/>
    <mergeCell ref="L5:L6"/>
    <mergeCell ref="P5:P6"/>
  </mergeCells>
  <pageMargins left="0.25" right="0.25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4"/>
  <sheetViews>
    <sheetView zoomScale="70" zoomScaleNormal="70" workbookViewId="0">
      <selection activeCell="Q33" sqref="Q33"/>
    </sheetView>
  </sheetViews>
  <sheetFormatPr defaultRowHeight="15" x14ac:dyDescent="0.25"/>
  <cols>
    <col min="1" max="1" width="9.5703125" style="2" customWidth="1"/>
    <col min="2" max="2" width="17" customWidth="1"/>
    <col min="3" max="3" width="16.28515625" customWidth="1"/>
    <col min="4" max="4" width="19.28515625" customWidth="1"/>
    <col min="5" max="5" width="13.28515625" customWidth="1"/>
    <col min="6" max="6" width="21.7109375" customWidth="1"/>
    <col min="7" max="7" width="18.28515625" customWidth="1"/>
    <col min="8" max="8" width="19.140625" customWidth="1"/>
    <col min="9" max="9" width="19.28515625" customWidth="1"/>
    <col min="10" max="10" width="24.85546875" bestFit="1" customWidth="1"/>
    <col min="11" max="11" width="14.28515625" customWidth="1"/>
    <col min="12" max="12" width="16.42578125" customWidth="1"/>
    <col min="13" max="13" width="14" customWidth="1"/>
    <col min="14" max="14" width="13.5703125" customWidth="1"/>
    <col min="15" max="15" width="20.7109375" customWidth="1"/>
    <col min="16" max="16" width="17" customWidth="1"/>
    <col min="17" max="17" width="20.7109375" customWidth="1"/>
    <col min="18" max="18" width="20.42578125" customWidth="1"/>
    <col min="19" max="19" width="15.140625" customWidth="1"/>
    <col min="20" max="20" width="16.42578125" customWidth="1"/>
    <col min="21" max="21" width="17.570312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2"/>
    </row>
    <row r="2" spans="1:21" x14ac:dyDescent="0.25">
      <c r="A2" s="27"/>
      <c r="B2" s="27"/>
      <c r="C2" s="27"/>
      <c r="D2" s="27"/>
      <c r="E2" s="27"/>
      <c r="F2" s="27"/>
      <c r="G2" s="27"/>
      <c r="H2" s="28"/>
      <c r="I2" s="28"/>
      <c r="J2" s="28"/>
      <c r="K2" s="28"/>
      <c r="L2" s="28"/>
      <c r="M2" s="28"/>
      <c r="N2" s="28"/>
      <c r="O2" s="28"/>
      <c r="P2" s="29" t="s">
        <v>21</v>
      </c>
      <c r="Q2" s="29" t="s">
        <v>33</v>
      </c>
      <c r="R2" s="27"/>
      <c r="S2" s="27"/>
    </row>
    <row r="3" spans="1:21" ht="18.75" x14ac:dyDescent="0.25">
      <c r="A3" s="76" t="s">
        <v>16</v>
      </c>
      <c r="B3" s="76"/>
      <c r="C3" s="76"/>
      <c r="D3" s="76"/>
      <c r="H3" s="83" t="s">
        <v>32</v>
      </c>
      <c r="I3" s="83"/>
      <c r="J3" s="83"/>
      <c r="K3" s="83"/>
      <c r="L3" s="83"/>
      <c r="M3" s="83"/>
      <c r="N3" s="84"/>
      <c r="O3" s="30" t="s">
        <v>13</v>
      </c>
      <c r="P3" s="31">
        <v>17.64</v>
      </c>
      <c r="Q3" s="30">
        <v>26.93</v>
      </c>
    </row>
    <row r="4" spans="1:21" ht="23.25" customHeight="1" x14ac:dyDescent="0.25">
      <c r="H4" s="117" t="s">
        <v>34</v>
      </c>
      <c r="I4" s="117"/>
      <c r="J4" s="117"/>
      <c r="K4" s="117"/>
      <c r="L4" s="117"/>
      <c r="M4" s="117"/>
      <c r="N4" s="118"/>
      <c r="O4" s="30" t="s">
        <v>35</v>
      </c>
      <c r="P4" s="30">
        <v>21.16</v>
      </c>
      <c r="Q4" s="30">
        <v>29.02</v>
      </c>
    </row>
    <row r="5" spans="1:21" ht="96" customHeight="1" x14ac:dyDescent="0.25">
      <c r="A5" s="79" t="s">
        <v>3</v>
      </c>
      <c r="B5" s="79" t="s">
        <v>2</v>
      </c>
      <c r="C5" s="79" t="s">
        <v>10</v>
      </c>
      <c r="D5" s="79" t="s">
        <v>11</v>
      </c>
      <c r="E5" s="79" t="s">
        <v>0</v>
      </c>
      <c r="F5" s="79" t="s">
        <v>6</v>
      </c>
      <c r="G5" s="79" t="s">
        <v>7</v>
      </c>
      <c r="H5" s="79" t="s">
        <v>8</v>
      </c>
      <c r="I5" s="79" t="s">
        <v>9</v>
      </c>
      <c r="J5" s="111" t="s">
        <v>22</v>
      </c>
      <c r="K5" s="112"/>
      <c r="L5" s="79" t="s">
        <v>24</v>
      </c>
      <c r="M5" s="79" t="s">
        <v>25</v>
      </c>
      <c r="N5" s="79" t="s">
        <v>48</v>
      </c>
      <c r="O5" s="79" t="s">
        <v>44</v>
      </c>
      <c r="P5" s="78" t="s">
        <v>26</v>
      </c>
      <c r="Q5" s="78" t="s">
        <v>43</v>
      </c>
      <c r="R5" s="111" t="s">
        <v>4</v>
      </c>
      <c r="S5" s="112"/>
      <c r="T5" s="79" t="s">
        <v>52</v>
      </c>
      <c r="U5" s="79" t="s">
        <v>40</v>
      </c>
    </row>
    <row r="6" spans="1:21" ht="92.25" customHeight="1" x14ac:dyDescent="0.25">
      <c r="A6" s="80"/>
      <c r="B6" s="80"/>
      <c r="C6" s="80"/>
      <c r="D6" s="80"/>
      <c r="E6" s="80"/>
      <c r="F6" s="80"/>
      <c r="G6" s="80"/>
      <c r="H6" s="80"/>
      <c r="I6" s="80"/>
      <c r="J6" s="3" t="s">
        <v>1</v>
      </c>
      <c r="K6" s="3" t="s">
        <v>23</v>
      </c>
      <c r="L6" s="80"/>
      <c r="M6" s="80"/>
      <c r="N6" s="80"/>
      <c r="O6" s="80"/>
      <c r="P6" s="78"/>
      <c r="Q6" s="78"/>
      <c r="R6" s="3" t="s">
        <v>38</v>
      </c>
      <c r="S6" s="3" t="s">
        <v>51</v>
      </c>
      <c r="T6" s="80"/>
      <c r="U6" s="80"/>
    </row>
    <row r="7" spans="1:2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</row>
    <row r="8" spans="1:21" x14ac:dyDescent="0.25">
      <c r="A8" s="5">
        <v>44805</v>
      </c>
      <c r="B8" s="8">
        <v>3793.8</v>
      </c>
      <c r="C8" s="8">
        <v>349</v>
      </c>
      <c r="D8" s="10">
        <v>14555443</v>
      </c>
      <c r="E8" s="8" t="s">
        <v>21</v>
      </c>
      <c r="F8" s="16">
        <v>882</v>
      </c>
      <c r="G8" s="16">
        <v>708.24</v>
      </c>
      <c r="H8" s="12"/>
      <c r="I8" s="16">
        <f t="shared" ref="I8:I11" si="0">F8-(G8+H8)</f>
        <v>173.76</v>
      </c>
      <c r="J8" s="8" t="s">
        <v>36</v>
      </c>
      <c r="K8" s="33">
        <v>173.76</v>
      </c>
      <c r="L8" s="7">
        <f t="shared" ref="L8:L9" si="1">K8/C8</f>
        <v>0.49787965616045843</v>
      </c>
      <c r="M8" s="15">
        <f>L8*P3</f>
        <v>8.7825971346704872</v>
      </c>
      <c r="N8" s="15">
        <f>L8*Q3</f>
        <v>13.407899140401145</v>
      </c>
      <c r="O8" s="18">
        <v>11.167999999999999</v>
      </c>
      <c r="P8" s="18">
        <f>O8*P3</f>
        <v>197.00351999999998</v>
      </c>
      <c r="Q8" s="18">
        <f>O8*Q3</f>
        <v>300.75423999999998</v>
      </c>
      <c r="R8" s="9"/>
      <c r="S8" s="44">
        <f>I8-O8</f>
        <v>162.59199999999998</v>
      </c>
      <c r="T8" s="36">
        <f>S8*P3</f>
        <v>2868.1228799999999</v>
      </c>
      <c r="U8" s="36">
        <f>S8*Q3</f>
        <v>4378.6025599999994</v>
      </c>
    </row>
    <row r="9" spans="1:21" x14ac:dyDescent="0.25">
      <c r="A9" s="5">
        <v>44835</v>
      </c>
      <c r="B9" s="8">
        <v>3793.8</v>
      </c>
      <c r="C9" s="8">
        <v>349</v>
      </c>
      <c r="D9" s="10">
        <v>14555443</v>
      </c>
      <c r="E9" s="8" t="s">
        <v>21</v>
      </c>
      <c r="F9" s="16">
        <v>767</v>
      </c>
      <c r="G9" s="16">
        <v>658.75699999999995</v>
      </c>
      <c r="H9" s="12"/>
      <c r="I9" s="16">
        <f t="shared" si="0"/>
        <v>108.24300000000005</v>
      </c>
      <c r="J9" s="8" t="s">
        <v>36</v>
      </c>
      <c r="K9" s="32">
        <v>108.24299999999999</v>
      </c>
      <c r="L9" s="7">
        <f t="shared" si="1"/>
        <v>0.31015186246418336</v>
      </c>
      <c r="M9" s="13"/>
      <c r="N9" s="34"/>
      <c r="O9" s="18">
        <v>11.167999999999999</v>
      </c>
      <c r="P9" s="18">
        <f>O9*P3</f>
        <v>197.00351999999998</v>
      </c>
      <c r="Q9" s="18">
        <f>O9*Q3</f>
        <v>300.75423999999998</v>
      </c>
      <c r="R9" s="9"/>
      <c r="S9" s="45">
        <f>I9-O9</f>
        <v>97.075000000000045</v>
      </c>
      <c r="T9" s="36">
        <f>S9*P3</f>
        <v>1712.4030000000009</v>
      </c>
      <c r="U9" s="36">
        <f>S9*Q3</f>
        <v>2614.2297500000013</v>
      </c>
    </row>
    <row r="10" spans="1:21" x14ac:dyDescent="0.25">
      <c r="A10" s="5">
        <v>44866</v>
      </c>
      <c r="B10" s="8">
        <v>3793.8</v>
      </c>
      <c r="C10" s="8">
        <v>349</v>
      </c>
      <c r="D10" s="10">
        <v>14555443</v>
      </c>
      <c r="E10" s="8" t="s">
        <v>21</v>
      </c>
      <c r="F10" s="17">
        <v>833</v>
      </c>
      <c r="G10" s="17">
        <v>695.82899999999995</v>
      </c>
      <c r="H10" s="7"/>
      <c r="I10" s="16">
        <f t="shared" si="0"/>
        <v>137.17100000000005</v>
      </c>
      <c r="J10" s="113" t="s">
        <v>47</v>
      </c>
      <c r="K10" s="114"/>
      <c r="L10" s="7"/>
      <c r="M10" s="7"/>
      <c r="N10" s="35"/>
      <c r="O10" s="18">
        <v>11.167999999999999</v>
      </c>
      <c r="P10" s="18">
        <f>O10*P3</f>
        <v>197.00351999999998</v>
      </c>
      <c r="Q10" s="18">
        <f>O10*Q3</f>
        <v>300.75423999999998</v>
      </c>
      <c r="R10" s="17">
        <f>O10</f>
        <v>11.167999999999999</v>
      </c>
      <c r="S10" s="32"/>
      <c r="T10" s="36">
        <f>-(R10*P3)</f>
        <v>-197.00351999999998</v>
      </c>
      <c r="U10" s="36">
        <f>-(R10*Q3)</f>
        <v>-300.75423999999998</v>
      </c>
    </row>
    <row r="11" spans="1:21" x14ac:dyDescent="0.25">
      <c r="A11" s="5">
        <v>44896</v>
      </c>
      <c r="B11" s="6">
        <v>3793.8</v>
      </c>
      <c r="C11" s="6">
        <v>349</v>
      </c>
      <c r="D11" s="10">
        <v>14555443</v>
      </c>
      <c r="E11" s="6" t="s">
        <v>21</v>
      </c>
      <c r="F11" s="17">
        <v>763</v>
      </c>
      <c r="G11" s="17">
        <v>437.57499999999999</v>
      </c>
      <c r="H11" s="7"/>
      <c r="I11" s="17">
        <f t="shared" si="0"/>
        <v>325.42500000000001</v>
      </c>
      <c r="J11" s="6" t="s">
        <v>37</v>
      </c>
      <c r="K11" s="32">
        <v>325.42500000000001</v>
      </c>
      <c r="L11" s="7">
        <f>K11/C11</f>
        <v>0.93244985673352443</v>
      </c>
      <c r="M11" s="7"/>
      <c r="N11" s="7"/>
      <c r="O11" s="19"/>
      <c r="P11" s="19"/>
      <c r="Q11" s="19"/>
      <c r="R11" s="11"/>
      <c r="S11" s="32"/>
      <c r="T11" s="115" t="s">
        <v>49</v>
      </c>
      <c r="U11" s="116"/>
    </row>
    <row r="12" spans="1:21" x14ac:dyDescent="0.25">
      <c r="B12" s="1"/>
      <c r="C12" s="1"/>
      <c r="P12" s="46">
        <f>P11+P10+P9+P8</f>
        <v>591.01055999999994</v>
      </c>
      <c r="Q12" s="46">
        <f>Q11+Q10+Q9+Q8</f>
        <v>902.26271999999994</v>
      </c>
      <c r="S12" s="41"/>
      <c r="T12" s="42">
        <f>SUM(T8:T11)</f>
        <v>4383.5223600000008</v>
      </c>
      <c r="U12" s="42">
        <f>SUM(U8:U11)</f>
        <v>6692.0780700000005</v>
      </c>
    </row>
    <row r="13" spans="1:21" x14ac:dyDescent="0.25">
      <c r="B13" s="1"/>
      <c r="C13" s="1"/>
      <c r="T13" s="41" t="s">
        <v>42</v>
      </c>
      <c r="U13" s="41"/>
    </row>
    <row r="14" spans="1:21" x14ac:dyDescent="0.25">
      <c r="B14" s="1"/>
      <c r="C14" s="1"/>
      <c r="S14" s="41"/>
      <c r="T14" s="41"/>
      <c r="U14" s="42">
        <f>U12+T12</f>
        <v>11075.600430000002</v>
      </c>
    </row>
  </sheetData>
  <sheetProtection selectLockedCells="1" selectUnlockedCells="1"/>
  <mergeCells count="25">
    <mergeCell ref="J10:K10"/>
    <mergeCell ref="T11:U11"/>
    <mergeCell ref="P5:P6"/>
    <mergeCell ref="R5:S5"/>
    <mergeCell ref="A1:R1"/>
    <mergeCell ref="L5:L6"/>
    <mergeCell ref="N5:N6"/>
    <mergeCell ref="H3:N3"/>
    <mergeCell ref="H4:N4"/>
    <mergeCell ref="M5:M6"/>
    <mergeCell ref="O5:O6"/>
    <mergeCell ref="Q5:Q6"/>
    <mergeCell ref="A3:D3"/>
    <mergeCell ref="A5:A6"/>
    <mergeCell ref="B5:B6"/>
    <mergeCell ref="C5:C6"/>
    <mergeCell ref="D5:D6"/>
    <mergeCell ref="E5:E6"/>
    <mergeCell ref="F5:F6"/>
    <mergeCell ref="G5:G6"/>
    <mergeCell ref="U5:U6"/>
    <mergeCell ref="H5:H6"/>
    <mergeCell ref="I5:I6"/>
    <mergeCell ref="J5:K5"/>
    <mergeCell ref="T5:T6"/>
  </mergeCells>
  <pageMargins left="0.25" right="0.25" top="0.75" bottom="0.75" header="0.3" footer="0.3"/>
  <pageSetup paperSize="9"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5"/>
  <sheetViews>
    <sheetView zoomScale="70" zoomScaleNormal="70" workbookViewId="0">
      <selection activeCell="N13" sqref="N13"/>
    </sheetView>
  </sheetViews>
  <sheetFormatPr defaultRowHeight="15" x14ac:dyDescent="0.25"/>
  <cols>
    <col min="1" max="1" width="9.5703125" style="2" customWidth="1"/>
    <col min="2" max="2" width="17" customWidth="1"/>
    <col min="3" max="3" width="16.28515625" customWidth="1"/>
    <col min="4" max="4" width="19.28515625" customWidth="1"/>
    <col min="5" max="5" width="13.28515625" customWidth="1"/>
    <col min="6" max="6" width="21.7109375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25.140625" bestFit="1" customWidth="1"/>
    <col min="14" max="14" width="18" customWidth="1"/>
    <col min="15" max="15" width="17" customWidth="1"/>
    <col min="16" max="16" width="20.7109375" customWidth="1"/>
    <col min="17" max="17" width="21.7109375" customWidth="1"/>
    <col min="18" max="19" width="14.140625" customWidth="1"/>
    <col min="20" max="20" width="16.425781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0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0" x14ac:dyDescent="0.25">
      <c r="A2" s="27"/>
      <c r="B2" s="27"/>
      <c r="C2" s="27"/>
      <c r="D2" s="27"/>
      <c r="E2" s="27"/>
      <c r="F2" s="27"/>
      <c r="G2" s="27"/>
      <c r="H2" s="28"/>
      <c r="I2" s="28"/>
      <c r="J2" s="28"/>
      <c r="K2" s="28"/>
      <c r="L2" s="28"/>
      <c r="M2" s="28"/>
      <c r="N2" s="28"/>
      <c r="O2" s="29" t="s">
        <v>21</v>
      </c>
      <c r="P2" s="29" t="s">
        <v>33</v>
      </c>
      <c r="Q2" s="27"/>
    </row>
    <row r="3" spans="1:20" ht="18.75" x14ac:dyDescent="0.25">
      <c r="A3" s="76" t="s">
        <v>18</v>
      </c>
      <c r="B3" s="76"/>
      <c r="C3" s="76"/>
      <c r="D3" s="76"/>
      <c r="H3" s="83" t="s">
        <v>32</v>
      </c>
      <c r="I3" s="83"/>
      <c r="J3" s="83"/>
      <c r="K3" s="83"/>
      <c r="L3" s="83"/>
      <c r="M3" s="84"/>
      <c r="N3" s="30" t="s">
        <v>13</v>
      </c>
      <c r="O3" s="31">
        <v>17.64</v>
      </c>
      <c r="P3" s="30">
        <v>26.93</v>
      </c>
    </row>
    <row r="4" spans="1:20" x14ac:dyDescent="0.25">
      <c r="H4" s="85" t="s">
        <v>34</v>
      </c>
      <c r="I4" s="85"/>
      <c r="J4" s="85"/>
      <c r="K4" s="85"/>
      <c r="L4" s="85"/>
      <c r="M4" s="86"/>
      <c r="N4" s="30" t="s">
        <v>35</v>
      </c>
      <c r="O4" s="30">
        <v>21.16</v>
      </c>
      <c r="P4" s="30">
        <v>29.02</v>
      </c>
    </row>
    <row r="5" spans="1:20" ht="83.25" customHeight="1" x14ac:dyDescent="0.25">
      <c r="A5" s="78" t="s">
        <v>3</v>
      </c>
      <c r="B5" s="78" t="s">
        <v>2</v>
      </c>
      <c r="C5" s="79" t="s">
        <v>10</v>
      </c>
      <c r="D5" s="78" t="s">
        <v>11</v>
      </c>
      <c r="E5" s="78" t="s">
        <v>0</v>
      </c>
      <c r="F5" s="78" t="s">
        <v>6</v>
      </c>
      <c r="G5" s="78" t="s">
        <v>7</v>
      </c>
      <c r="H5" s="78" t="s">
        <v>8</v>
      </c>
      <c r="I5" s="78" t="s">
        <v>9</v>
      </c>
      <c r="J5" s="78" t="s">
        <v>22</v>
      </c>
      <c r="K5" s="78"/>
      <c r="L5" s="78" t="s">
        <v>24</v>
      </c>
      <c r="M5" s="78" t="s">
        <v>25</v>
      </c>
      <c r="N5" s="79" t="s">
        <v>44</v>
      </c>
      <c r="O5" s="78" t="s">
        <v>26</v>
      </c>
      <c r="P5" s="78" t="s">
        <v>43</v>
      </c>
      <c r="Q5" s="78" t="s">
        <v>4</v>
      </c>
      <c r="R5" s="78"/>
      <c r="S5" s="78" t="s">
        <v>53</v>
      </c>
      <c r="T5" s="78" t="s">
        <v>52</v>
      </c>
    </row>
    <row r="6" spans="1:20" ht="92.25" customHeight="1" x14ac:dyDescent="0.25">
      <c r="A6" s="78"/>
      <c r="B6" s="78"/>
      <c r="C6" s="80"/>
      <c r="D6" s="78"/>
      <c r="E6" s="78"/>
      <c r="F6" s="78"/>
      <c r="G6" s="78"/>
      <c r="H6" s="78"/>
      <c r="I6" s="78"/>
      <c r="J6" s="3" t="s">
        <v>1</v>
      </c>
      <c r="K6" s="3" t="s">
        <v>23</v>
      </c>
      <c r="L6" s="78"/>
      <c r="M6" s="78"/>
      <c r="N6" s="80"/>
      <c r="O6" s="78"/>
      <c r="P6" s="78"/>
      <c r="Q6" s="3" t="s">
        <v>38</v>
      </c>
      <c r="R6" s="3" t="s">
        <v>39</v>
      </c>
      <c r="S6" s="78"/>
      <c r="T6" s="78"/>
    </row>
    <row r="7" spans="1:20" x14ac:dyDescent="0.25">
      <c r="A7" s="4">
        <v>1</v>
      </c>
      <c r="B7" s="4">
        <v>2</v>
      </c>
      <c r="C7" s="4">
        <v>3</v>
      </c>
      <c r="D7" s="10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</row>
    <row r="8" spans="1:20" ht="30" customHeight="1" x14ac:dyDescent="0.25">
      <c r="A8" s="5">
        <v>44805</v>
      </c>
      <c r="B8" s="8">
        <v>1245.8</v>
      </c>
      <c r="C8" s="8">
        <v>96.9</v>
      </c>
      <c r="D8" s="10">
        <v>40097729</v>
      </c>
      <c r="E8" s="8" t="s">
        <v>21</v>
      </c>
      <c r="F8" s="16">
        <v>271</v>
      </c>
      <c r="G8" s="16">
        <v>228.87100000000001</v>
      </c>
      <c r="H8" s="12"/>
      <c r="I8" s="16">
        <f t="shared" ref="I8:I11" si="0">F8-(G8+H8)</f>
        <v>42.128999999999991</v>
      </c>
      <c r="J8" s="81" t="s">
        <v>45</v>
      </c>
      <c r="K8" s="82"/>
      <c r="L8" s="8"/>
      <c r="M8" s="8"/>
      <c r="N8" s="18">
        <v>3.101</v>
      </c>
      <c r="O8" s="9">
        <f>N8*O3</f>
        <v>54.701640000000005</v>
      </c>
      <c r="P8" s="9">
        <f>N8*P3</f>
        <v>83.509929999999997</v>
      </c>
      <c r="Q8" s="33">
        <f>N8</f>
        <v>3.101</v>
      </c>
      <c r="R8" s="16"/>
      <c r="S8" s="36">
        <f>-(Q8*O3)</f>
        <v>-54.701640000000005</v>
      </c>
      <c r="T8" s="36">
        <f>-(Q8*P3)</f>
        <v>-83.509929999999997</v>
      </c>
    </row>
    <row r="9" spans="1:20" x14ac:dyDescent="0.25">
      <c r="A9" s="5">
        <v>44835</v>
      </c>
      <c r="B9" s="8">
        <v>1245.8</v>
      </c>
      <c r="C9" s="8">
        <v>96.9</v>
      </c>
      <c r="D9" s="10">
        <v>40097729</v>
      </c>
      <c r="E9" s="8" t="s">
        <v>21</v>
      </c>
      <c r="F9" s="16">
        <v>220</v>
      </c>
      <c r="G9" s="16">
        <v>270.45999999999998</v>
      </c>
      <c r="H9" s="12"/>
      <c r="I9" s="16">
        <f t="shared" si="0"/>
        <v>-50.45999999999998</v>
      </c>
      <c r="J9" s="7"/>
      <c r="K9" s="7"/>
      <c r="L9" s="13"/>
      <c r="M9" s="13"/>
      <c r="N9" s="18">
        <v>3.101</v>
      </c>
      <c r="O9" s="9">
        <f>N9*O3</f>
        <v>54.701640000000005</v>
      </c>
      <c r="P9" s="9">
        <f>N9*P3</f>
        <v>83.509929999999997</v>
      </c>
      <c r="Q9" s="22">
        <f>N9</f>
        <v>3.101</v>
      </c>
      <c r="R9" s="14"/>
      <c r="S9" s="36">
        <f>-(Q9*O3)</f>
        <v>-54.701640000000005</v>
      </c>
      <c r="T9" s="36">
        <f>-(Q9*P3)</f>
        <v>-83.509929999999997</v>
      </c>
    </row>
    <row r="10" spans="1:20" x14ac:dyDescent="0.25">
      <c r="A10" s="5">
        <v>44866</v>
      </c>
      <c r="B10" s="8">
        <v>1245.8</v>
      </c>
      <c r="C10" s="8">
        <v>96.9</v>
      </c>
      <c r="D10" s="10">
        <v>40097729</v>
      </c>
      <c r="E10" s="8" t="s">
        <v>21</v>
      </c>
      <c r="F10" s="17">
        <v>211</v>
      </c>
      <c r="G10" s="17">
        <v>270.44099999999997</v>
      </c>
      <c r="H10" s="7"/>
      <c r="I10" s="16">
        <f t="shared" si="0"/>
        <v>-59.440999999999974</v>
      </c>
      <c r="J10" s="7"/>
      <c r="K10" s="7"/>
      <c r="L10" s="7"/>
      <c r="M10" s="7"/>
      <c r="N10" s="18"/>
      <c r="O10" s="9"/>
      <c r="P10" s="9"/>
      <c r="Q10" s="24"/>
      <c r="R10" s="7"/>
      <c r="S10" s="115" t="s">
        <v>50</v>
      </c>
      <c r="T10" s="116"/>
    </row>
    <row r="11" spans="1:20" x14ac:dyDescent="0.25">
      <c r="A11" s="5">
        <v>44896</v>
      </c>
      <c r="B11" s="6">
        <v>1245.8</v>
      </c>
      <c r="C11" s="6">
        <v>96.9</v>
      </c>
      <c r="D11" s="10">
        <v>40097729</v>
      </c>
      <c r="E11" s="6" t="s">
        <v>21</v>
      </c>
      <c r="F11" s="17">
        <v>179</v>
      </c>
      <c r="G11" s="17">
        <v>275.97300000000001</v>
      </c>
      <c r="H11" s="7"/>
      <c r="I11" s="17">
        <f t="shared" si="0"/>
        <v>-96.973000000000013</v>
      </c>
      <c r="J11" s="7"/>
      <c r="K11" s="7"/>
      <c r="L11" s="7"/>
      <c r="M11" s="7"/>
      <c r="N11" s="19"/>
      <c r="O11" s="11"/>
      <c r="P11" s="11"/>
      <c r="Q11" s="24"/>
      <c r="R11" s="7"/>
      <c r="S11" s="115"/>
      <c r="T11" s="116"/>
    </row>
    <row r="12" spans="1:20" x14ac:dyDescent="0.25">
      <c r="B12" s="1"/>
      <c r="C12" s="1"/>
      <c r="O12" s="39">
        <f>O9+O8</f>
        <v>109.40328000000001</v>
      </c>
      <c r="P12" s="39">
        <f>P9+P8</f>
        <v>167.01985999999999</v>
      </c>
      <c r="Q12" s="40"/>
      <c r="R12" s="41"/>
      <c r="S12" s="42">
        <f>SUM(S8:S11)</f>
        <v>-109.40328000000001</v>
      </c>
      <c r="T12" s="42">
        <f>SUM(T8:T11)</f>
        <v>-167.01985999999999</v>
      </c>
    </row>
    <row r="13" spans="1:20" x14ac:dyDescent="0.25">
      <c r="B13" s="1"/>
      <c r="C13" s="1"/>
      <c r="O13" s="41"/>
      <c r="P13" s="41"/>
      <c r="Q13" s="41"/>
      <c r="R13" s="41" t="s">
        <v>41</v>
      </c>
      <c r="T13" s="41"/>
    </row>
    <row r="14" spans="1:20" x14ac:dyDescent="0.25">
      <c r="B14" s="1"/>
      <c r="C14" s="1"/>
      <c r="O14" s="41"/>
      <c r="P14" s="41"/>
      <c r="Q14" s="41"/>
      <c r="R14" s="41"/>
      <c r="S14" s="41"/>
      <c r="T14" s="42">
        <f>S12+T12</f>
        <v>-276.42313999999999</v>
      </c>
    </row>
    <row r="15" spans="1:20" x14ac:dyDescent="0.25">
      <c r="B15" s="1"/>
      <c r="C15" s="1"/>
    </row>
    <row r="16" spans="1:20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</sheetData>
  <sheetProtection selectLockedCells="1" selectUnlockedCells="1"/>
  <mergeCells count="25">
    <mergeCell ref="P5:P6"/>
    <mergeCell ref="J8:K8"/>
    <mergeCell ref="S10:T10"/>
    <mergeCell ref="S11:T11"/>
    <mergeCell ref="H3:M3"/>
    <mergeCell ref="H4:M4"/>
    <mergeCell ref="S5:S6"/>
    <mergeCell ref="T5:T6"/>
    <mergeCell ref="L5:L6"/>
    <mergeCell ref="A1:Q1"/>
    <mergeCell ref="M5:M6"/>
    <mergeCell ref="N5:N6"/>
    <mergeCell ref="O5:O6"/>
    <mergeCell ref="A3:D3"/>
    <mergeCell ref="A5:A6"/>
    <mergeCell ref="B5:B6"/>
    <mergeCell ref="C5:C6"/>
    <mergeCell ref="D5:D6"/>
    <mergeCell ref="E5:E6"/>
    <mergeCell ref="F5:F6"/>
    <mergeCell ref="G5:G6"/>
    <mergeCell ref="H5:H6"/>
    <mergeCell ref="Q5:R5"/>
    <mergeCell ref="I5:I6"/>
    <mergeCell ref="J5:K5"/>
  </mergeCells>
  <pageMargins left="0.25" right="0.25" top="0.75" bottom="0.75" header="0.3" footer="0.3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5"/>
  <sheetViews>
    <sheetView zoomScale="70" zoomScaleNormal="70" workbookViewId="0">
      <selection activeCell="N13" sqref="N13"/>
    </sheetView>
  </sheetViews>
  <sheetFormatPr defaultRowHeight="15" x14ac:dyDescent="0.25"/>
  <cols>
    <col min="1" max="1" width="9.5703125" style="2" customWidth="1"/>
    <col min="2" max="2" width="17" customWidth="1"/>
    <col min="3" max="3" width="16.28515625" customWidth="1"/>
    <col min="4" max="4" width="19.28515625" customWidth="1"/>
    <col min="5" max="5" width="13.28515625" customWidth="1"/>
    <col min="6" max="6" width="21.7109375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25.140625" bestFit="1" customWidth="1"/>
    <col min="14" max="14" width="18" customWidth="1"/>
    <col min="15" max="15" width="17" customWidth="1"/>
    <col min="16" max="16" width="20.7109375" customWidth="1"/>
    <col min="17" max="17" width="21.7109375" customWidth="1"/>
    <col min="18" max="19" width="14.140625" customWidth="1"/>
    <col min="20" max="20" width="16.425781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0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0" x14ac:dyDescent="0.25">
      <c r="A2" s="27"/>
      <c r="B2" s="27"/>
      <c r="C2" s="27"/>
      <c r="D2" s="27"/>
      <c r="E2" s="27"/>
      <c r="F2" s="27"/>
      <c r="G2" s="27"/>
      <c r="H2" s="28"/>
      <c r="I2" s="28"/>
      <c r="J2" s="28"/>
      <c r="K2" s="28"/>
      <c r="L2" s="28"/>
      <c r="M2" s="28"/>
      <c r="N2" s="28"/>
      <c r="O2" s="29" t="s">
        <v>21</v>
      </c>
      <c r="P2" s="29" t="s">
        <v>33</v>
      </c>
      <c r="Q2" s="27"/>
    </row>
    <row r="3" spans="1:20" ht="18.75" x14ac:dyDescent="0.25">
      <c r="A3" s="76" t="s">
        <v>19</v>
      </c>
      <c r="B3" s="76"/>
      <c r="C3" s="76"/>
      <c r="D3" s="76"/>
      <c r="H3" s="83" t="s">
        <v>32</v>
      </c>
      <c r="I3" s="83"/>
      <c r="J3" s="83"/>
      <c r="K3" s="83"/>
      <c r="L3" s="83"/>
      <c r="M3" s="84"/>
      <c r="N3" s="30" t="s">
        <v>13</v>
      </c>
      <c r="O3" s="31">
        <v>17.64</v>
      </c>
      <c r="P3" s="30">
        <v>26.93</v>
      </c>
    </row>
    <row r="4" spans="1:20" x14ac:dyDescent="0.25">
      <c r="H4" s="85" t="s">
        <v>34</v>
      </c>
      <c r="I4" s="85"/>
      <c r="J4" s="85"/>
      <c r="K4" s="85"/>
      <c r="L4" s="85"/>
      <c r="M4" s="86"/>
      <c r="N4" s="30" t="s">
        <v>35</v>
      </c>
      <c r="O4" s="30">
        <v>21.16</v>
      </c>
      <c r="P4" s="30">
        <v>29.02</v>
      </c>
    </row>
    <row r="5" spans="1:20" ht="83.25" customHeight="1" x14ac:dyDescent="0.25">
      <c r="A5" s="78" t="s">
        <v>3</v>
      </c>
      <c r="B5" s="78" t="s">
        <v>2</v>
      </c>
      <c r="C5" s="79" t="s">
        <v>10</v>
      </c>
      <c r="D5" s="78" t="s">
        <v>11</v>
      </c>
      <c r="E5" s="78" t="s">
        <v>0</v>
      </c>
      <c r="F5" s="78" t="s">
        <v>6</v>
      </c>
      <c r="G5" s="78" t="s">
        <v>7</v>
      </c>
      <c r="H5" s="78" t="s">
        <v>8</v>
      </c>
      <c r="I5" s="78" t="s">
        <v>9</v>
      </c>
      <c r="J5" s="78" t="s">
        <v>22</v>
      </c>
      <c r="K5" s="78"/>
      <c r="L5" s="78" t="s">
        <v>24</v>
      </c>
      <c r="M5" s="78" t="s">
        <v>25</v>
      </c>
      <c r="N5" s="79" t="s">
        <v>44</v>
      </c>
      <c r="O5" s="78" t="s">
        <v>26</v>
      </c>
      <c r="P5" s="78" t="s">
        <v>43</v>
      </c>
      <c r="Q5" s="78" t="s">
        <v>4</v>
      </c>
      <c r="R5" s="78"/>
      <c r="S5" s="78" t="s">
        <v>53</v>
      </c>
      <c r="T5" s="78" t="s">
        <v>52</v>
      </c>
    </row>
    <row r="6" spans="1:20" ht="92.25" customHeight="1" x14ac:dyDescent="0.25">
      <c r="A6" s="78"/>
      <c r="B6" s="78"/>
      <c r="C6" s="80"/>
      <c r="D6" s="78"/>
      <c r="E6" s="78"/>
      <c r="F6" s="78"/>
      <c r="G6" s="78"/>
      <c r="H6" s="78"/>
      <c r="I6" s="78"/>
      <c r="J6" s="3" t="s">
        <v>1</v>
      </c>
      <c r="K6" s="3" t="s">
        <v>23</v>
      </c>
      <c r="L6" s="78"/>
      <c r="M6" s="78"/>
      <c r="N6" s="80"/>
      <c r="O6" s="78"/>
      <c r="P6" s="78"/>
      <c r="Q6" s="3" t="s">
        <v>38</v>
      </c>
      <c r="R6" s="3" t="s">
        <v>39</v>
      </c>
      <c r="S6" s="78"/>
      <c r="T6" s="78"/>
    </row>
    <row r="7" spans="1:20" x14ac:dyDescent="0.25">
      <c r="A7" s="4">
        <v>1</v>
      </c>
      <c r="B7" s="4">
        <v>2</v>
      </c>
      <c r="C7" s="4">
        <v>3</v>
      </c>
      <c r="D7" s="10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</row>
    <row r="8" spans="1:20" x14ac:dyDescent="0.25">
      <c r="A8" s="5">
        <v>44805</v>
      </c>
      <c r="B8" s="8">
        <v>1878.5</v>
      </c>
      <c r="C8" s="8">
        <v>156</v>
      </c>
      <c r="D8" s="10">
        <v>14571985</v>
      </c>
      <c r="E8" s="8" t="s">
        <v>21</v>
      </c>
      <c r="F8" s="23">
        <v>217</v>
      </c>
      <c r="G8" s="23">
        <v>323.69</v>
      </c>
      <c r="H8" s="23"/>
      <c r="I8" s="16">
        <f t="shared" ref="I8:I11" si="0">F8-(G8+H8)</f>
        <v>-106.69</v>
      </c>
      <c r="J8" s="8"/>
      <c r="K8" s="8"/>
      <c r="L8" s="8"/>
      <c r="M8" s="8"/>
      <c r="N8" s="18">
        <v>4.992</v>
      </c>
      <c r="O8" s="9">
        <f>N8*O3</f>
        <v>88.058880000000002</v>
      </c>
      <c r="P8" s="9">
        <f>N8*P3</f>
        <v>134.43456</v>
      </c>
      <c r="Q8" s="23">
        <f>N8</f>
        <v>4.992</v>
      </c>
      <c r="R8" s="8"/>
      <c r="S8" s="36">
        <f>-(Q8*O3)</f>
        <v>-88.058880000000002</v>
      </c>
      <c r="T8" s="36">
        <f>-(Q8*P3)</f>
        <v>-134.43456</v>
      </c>
    </row>
    <row r="9" spans="1:20" x14ac:dyDescent="0.25">
      <c r="A9" s="5">
        <v>44835</v>
      </c>
      <c r="B9" s="8">
        <v>1878.5</v>
      </c>
      <c r="C9" s="8">
        <v>156</v>
      </c>
      <c r="D9" s="10">
        <v>14571985</v>
      </c>
      <c r="E9" s="8" t="s">
        <v>21</v>
      </c>
      <c r="F9" s="23">
        <v>213</v>
      </c>
      <c r="G9" s="23">
        <v>304.95</v>
      </c>
      <c r="H9" s="23"/>
      <c r="I9" s="16">
        <f t="shared" si="0"/>
        <v>-91.949999999999989</v>
      </c>
      <c r="J9" s="7"/>
      <c r="K9" s="7"/>
      <c r="L9" s="13"/>
      <c r="M9" s="13"/>
      <c r="N9" s="18">
        <v>4.992</v>
      </c>
      <c r="O9" s="9">
        <f>N9*O3</f>
        <v>88.058880000000002</v>
      </c>
      <c r="P9" s="9">
        <f>N9*P3</f>
        <v>134.43456</v>
      </c>
      <c r="Q9" s="23">
        <f t="shared" ref="Q9" si="1">N9</f>
        <v>4.992</v>
      </c>
      <c r="R9" s="14"/>
      <c r="S9" s="36">
        <f>-(Q9*O3)</f>
        <v>-88.058880000000002</v>
      </c>
      <c r="T9" s="36">
        <f>-(Q9*P3)</f>
        <v>-134.43456</v>
      </c>
    </row>
    <row r="10" spans="1:20" x14ac:dyDescent="0.25">
      <c r="A10" s="5">
        <v>44866</v>
      </c>
      <c r="B10" s="8">
        <v>1878.5</v>
      </c>
      <c r="C10" s="8">
        <v>156</v>
      </c>
      <c r="D10" s="10">
        <v>14571985</v>
      </c>
      <c r="E10" s="8" t="s">
        <v>21</v>
      </c>
      <c r="F10" s="25">
        <v>226</v>
      </c>
      <c r="G10" s="25">
        <v>352.7</v>
      </c>
      <c r="H10" s="24"/>
      <c r="I10" s="16">
        <f t="shared" si="0"/>
        <v>-126.69999999999999</v>
      </c>
      <c r="J10" s="7"/>
      <c r="K10" s="7"/>
      <c r="L10" s="7"/>
      <c r="M10" s="7"/>
      <c r="N10" s="18"/>
      <c r="O10" s="9"/>
      <c r="P10" s="9"/>
      <c r="Q10" s="23"/>
      <c r="R10" s="7"/>
      <c r="S10" s="115" t="s">
        <v>50</v>
      </c>
      <c r="T10" s="116"/>
    </row>
    <row r="11" spans="1:20" x14ac:dyDescent="0.25">
      <c r="A11" s="5">
        <v>44896</v>
      </c>
      <c r="B11" s="6">
        <v>1878.5</v>
      </c>
      <c r="C11" s="6">
        <v>156</v>
      </c>
      <c r="D11" s="10">
        <v>14571985</v>
      </c>
      <c r="E11" s="6" t="s">
        <v>21</v>
      </c>
      <c r="F11" s="25">
        <v>221</v>
      </c>
      <c r="G11" s="25">
        <v>255.7</v>
      </c>
      <c r="H11" s="24"/>
      <c r="I11" s="17">
        <f t="shared" si="0"/>
        <v>-34.699999999999989</v>
      </c>
      <c r="J11" s="7"/>
      <c r="K11" s="7"/>
      <c r="L11" s="7"/>
      <c r="M11" s="7"/>
      <c r="N11" s="19"/>
      <c r="O11" s="11"/>
      <c r="P11" s="11"/>
      <c r="Q11" s="25"/>
      <c r="R11" s="7"/>
      <c r="S11" s="115"/>
      <c r="T11" s="116"/>
    </row>
    <row r="12" spans="1:20" x14ac:dyDescent="0.25">
      <c r="B12" s="1"/>
      <c r="C12" s="1"/>
      <c r="O12" s="39">
        <f>O9+O8</f>
        <v>176.11776</v>
      </c>
      <c r="P12" s="47">
        <f>P9+P8</f>
        <v>268.86912000000001</v>
      </c>
      <c r="Q12" s="41"/>
      <c r="R12" s="41"/>
      <c r="S12" s="42">
        <f>SUM(S8:S11)</f>
        <v>-176.11776</v>
      </c>
      <c r="T12" s="42">
        <f>SUM(T8:T11)</f>
        <v>-268.86912000000001</v>
      </c>
    </row>
    <row r="13" spans="1:20" x14ac:dyDescent="0.25">
      <c r="B13" s="1"/>
      <c r="C13" s="1"/>
      <c r="O13" s="41"/>
      <c r="P13" s="41"/>
      <c r="Q13" s="41"/>
      <c r="R13" s="41" t="s">
        <v>41</v>
      </c>
      <c r="T13" s="41"/>
    </row>
    <row r="14" spans="1:20" x14ac:dyDescent="0.25">
      <c r="B14" s="1"/>
      <c r="C14" s="1"/>
      <c r="O14" s="41"/>
      <c r="P14" s="41"/>
      <c r="Q14" s="41"/>
      <c r="R14" s="41"/>
      <c r="S14" s="41"/>
      <c r="T14" s="42">
        <f>S12+T12</f>
        <v>-444.98688000000004</v>
      </c>
    </row>
    <row r="15" spans="1:20" x14ac:dyDescent="0.25">
      <c r="B15" s="1"/>
      <c r="C15" s="1"/>
    </row>
    <row r="16" spans="1:20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</sheetData>
  <sheetProtection selectLockedCells="1" selectUnlockedCells="1"/>
  <mergeCells count="24">
    <mergeCell ref="P5:P6"/>
    <mergeCell ref="S10:T10"/>
    <mergeCell ref="S11:T11"/>
    <mergeCell ref="H3:M3"/>
    <mergeCell ref="H4:M4"/>
    <mergeCell ref="S5:S6"/>
    <mergeCell ref="T5:T6"/>
    <mergeCell ref="L5:L6"/>
    <mergeCell ref="A1:Q1"/>
    <mergeCell ref="M5:M6"/>
    <mergeCell ref="N5:N6"/>
    <mergeCell ref="O5:O6"/>
    <mergeCell ref="A3:D3"/>
    <mergeCell ref="A5:A6"/>
    <mergeCell ref="B5:B6"/>
    <mergeCell ref="C5:C6"/>
    <mergeCell ref="D5:D6"/>
    <mergeCell ref="E5:E6"/>
    <mergeCell ref="F5:F6"/>
    <mergeCell ref="G5:G6"/>
    <mergeCell ref="H5:H6"/>
    <mergeCell ref="Q5:R5"/>
    <mergeCell ref="I5:I6"/>
    <mergeCell ref="J5:K5"/>
  </mergeCells>
  <pageMargins left="0.25" right="0.25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95"/>
  <sheetViews>
    <sheetView zoomScale="70" zoomScaleNormal="70" workbookViewId="0">
      <selection activeCell="C15" sqref="C15"/>
    </sheetView>
  </sheetViews>
  <sheetFormatPr defaultRowHeight="15" x14ac:dyDescent="0.25"/>
  <cols>
    <col min="1" max="1" width="9.5703125" style="2" customWidth="1"/>
    <col min="2" max="2" width="17" customWidth="1"/>
    <col min="3" max="3" width="16.28515625" customWidth="1"/>
    <col min="4" max="4" width="19.28515625" customWidth="1"/>
    <col min="5" max="5" width="13.28515625" customWidth="1"/>
    <col min="6" max="6" width="21.7109375" customWidth="1"/>
    <col min="7" max="7" width="18.28515625" customWidth="1"/>
    <col min="8" max="8" width="19.140625" customWidth="1"/>
    <col min="9" max="9" width="19.28515625" customWidth="1"/>
    <col min="10" max="10" width="16.140625" customWidth="1"/>
    <col min="11" max="11" width="14.28515625" customWidth="1"/>
    <col min="12" max="12" width="16.42578125" customWidth="1"/>
    <col min="13" max="13" width="25.140625" bestFit="1" customWidth="1"/>
    <col min="14" max="14" width="18" customWidth="1"/>
    <col min="15" max="15" width="17" customWidth="1"/>
    <col min="16" max="16" width="20.7109375" customWidth="1"/>
    <col min="17" max="17" width="21.7109375" customWidth="1"/>
    <col min="18" max="19" width="14.140625" customWidth="1"/>
    <col min="20" max="20" width="16.42578125" customWidth="1"/>
    <col min="21" max="21" width="4.7109375" customWidth="1"/>
    <col min="22" max="22" width="4" customWidth="1"/>
    <col min="23" max="23" width="3.85546875" customWidth="1"/>
    <col min="24" max="24" width="4.7109375" customWidth="1"/>
    <col min="25" max="25" width="4" customWidth="1"/>
    <col min="26" max="26" width="4.7109375" customWidth="1"/>
    <col min="27" max="27" width="4.5703125" customWidth="1"/>
    <col min="28" max="28" width="4.28515625" customWidth="1"/>
    <col min="29" max="29" width="4.7109375" customWidth="1"/>
    <col min="30" max="30" width="4" customWidth="1"/>
    <col min="31" max="31" width="4.28515625" customWidth="1"/>
    <col min="32" max="32" width="3.85546875" customWidth="1"/>
    <col min="33" max="34" width="4.7109375" customWidth="1"/>
    <col min="35" max="35" width="4.42578125" customWidth="1"/>
    <col min="36" max="37" width="4.85546875" customWidth="1"/>
    <col min="38" max="39" width="4.5703125" customWidth="1"/>
    <col min="40" max="40" width="4.42578125" customWidth="1"/>
    <col min="41" max="41" width="5.28515625" customWidth="1"/>
    <col min="42" max="46" width="4.28515625" customWidth="1"/>
    <col min="47" max="47" width="4.42578125" customWidth="1"/>
  </cols>
  <sheetData>
    <row r="1" spans="1:20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0" x14ac:dyDescent="0.25">
      <c r="A2" s="27"/>
      <c r="B2" s="27"/>
      <c r="C2" s="27"/>
      <c r="D2" s="27"/>
      <c r="E2" s="27"/>
      <c r="F2" s="27"/>
      <c r="G2" s="27"/>
      <c r="H2" s="28"/>
      <c r="I2" s="28"/>
      <c r="J2" s="28"/>
      <c r="K2" s="28"/>
      <c r="L2" s="28"/>
      <c r="M2" s="28"/>
      <c r="N2" s="28"/>
      <c r="O2" s="29" t="s">
        <v>21</v>
      </c>
      <c r="P2" s="29" t="s">
        <v>33</v>
      </c>
      <c r="Q2" s="27"/>
    </row>
    <row r="3" spans="1:20" ht="18.75" x14ac:dyDescent="0.25">
      <c r="A3" s="76" t="s">
        <v>20</v>
      </c>
      <c r="B3" s="76"/>
      <c r="C3" s="76"/>
      <c r="D3" s="76"/>
      <c r="H3" s="83" t="s">
        <v>32</v>
      </c>
      <c r="I3" s="83"/>
      <c r="J3" s="83"/>
      <c r="K3" s="83"/>
      <c r="L3" s="83"/>
      <c r="M3" s="84"/>
      <c r="N3" s="30" t="s">
        <v>13</v>
      </c>
      <c r="O3" s="31">
        <v>17.64</v>
      </c>
      <c r="P3" s="30">
        <v>26.93</v>
      </c>
    </row>
    <row r="4" spans="1:20" x14ac:dyDescent="0.25">
      <c r="H4" s="85" t="s">
        <v>34</v>
      </c>
      <c r="I4" s="85"/>
      <c r="J4" s="85"/>
      <c r="K4" s="85"/>
      <c r="L4" s="85"/>
      <c r="M4" s="86"/>
      <c r="N4" s="30" t="s">
        <v>35</v>
      </c>
      <c r="O4" s="30">
        <v>21.16</v>
      </c>
      <c r="P4" s="30">
        <v>29.02</v>
      </c>
    </row>
    <row r="5" spans="1:20" ht="83.25" customHeight="1" x14ac:dyDescent="0.25">
      <c r="A5" s="78" t="s">
        <v>3</v>
      </c>
      <c r="B5" s="78" t="s">
        <v>2</v>
      </c>
      <c r="C5" s="79" t="s">
        <v>10</v>
      </c>
      <c r="D5" s="78" t="s">
        <v>11</v>
      </c>
      <c r="E5" s="78" t="s">
        <v>0</v>
      </c>
      <c r="F5" s="78" t="s">
        <v>6</v>
      </c>
      <c r="G5" s="78" t="s">
        <v>7</v>
      </c>
      <c r="H5" s="78" t="s">
        <v>8</v>
      </c>
      <c r="I5" s="78" t="s">
        <v>9</v>
      </c>
      <c r="J5" s="78" t="s">
        <v>22</v>
      </c>
      <c r="K5" s="78"/>
      <c r="L5" s="78" t="s">
        <v>24</v>
      </c>
      <c r="M5" s="78" t="s">
        <v>25</v>
      </c>
      <c r="N5" s="79" t="s">
        <v>44</v>
      </c>
      <c r="O5" s="78" t="s">
        <v>26</v>
      </c>
      <c r="P5" s="78" t="s">
        <v>43</v>
      </c>
      <c r="Q5" s="78" t="s">
        <v>4</v>
      </c>
      <c r="R5" s="78"/>
      <c r="S5" s="78" t="s">
        <v>53</v>
      </c>
      <c r="T5" s="78" t="s">
        <v>52</v>
      </c>
    </row>
    <row r="6" spans="1:20" ht="92.25" customHeight="1" x14ac:dyDescent="0.25">
      <c r="A6" s="78"/>
      <c r="B6" s="78"/>
      <c r="C6" s="80"/>
      <c r="D6" s="78"/>
      <c r="E6" s="78"/>
      <c r="F6" s="78"/>
      <c r="G6" s="78"/>
      <c r="H6" s="78"/>
      <c r="I6" s="78"/>
      <c r="J6" s="3" t="s">
        <v>1</v>
      </c>
      <c r="K6" s="3" t="s">
        <v>23</v>
      </c>
      <c r="L6" s="78"/>
      <c r="M6" s="78"/>
      <c r="N6" s="80"/>
      <c r="O6" s="78"/>
      <c r="P6" s="78"/>
      <c r="Q6" s="3" t="s">
        <v>38</v>
      </c>
      <c r="R6" s="3" t="s">
        <v>39</v>
      </c>
      <c r="S6" s="78"/>
      <c r="T6" s="78"/>
    </row>
    <row r="7" spans="1:20" x14ac:dyDescent="0.25">
      <c r="A7" s="4">
        <v>1</v>
      </c>
      <c r="B7" s="4">
        <v>2</v>
      </c>
      <c r="C7" s="4">
        <v>3</v>
      </c>
      <c r="D7" s="10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</row>
    <row r="8" spans="1:20" x14ac:dyDescent="0.25">
      <c r="A8" s="5">
        <v>44805</v>
      </c>
      <c r="B8" s="8">
        <v>3111.3</v>
      </c>
      <c r="C8" s="8">
        <v>245.1</v>
      </c>
      <c r="D8" s="10">
        <v>14540629</v>
      </c>
      <c r="E8" s="8" t="s">
        <v>21</v>
      </c>
      <c r="F8" s="23">
        <v>670</v>
      </c>
      <c r="G8" s="23">
        <v>664.327</v>
      </c>
      <c r="H8" s="23"/>
      <c r="I8" s="16">
        <f t="shared" ref="I8:I11" si="0">F8-(G8+H8)</f>
        <v>5.6730000000000018</v>
      </c>
      <c r="J8" s="8"/>
      <c r="K8" s="8"/>
      <c r="L8" s="8"/>
      <c r="M8" s="8"/>
      <c r="N8" s="18">
        <v>7.843</v>
      </c>
      <c r="O8" s="9">
        <f>N8*O3</f>
        <v>138.35052000000002</v>
      </c>
      <c r="P8" s="9">
        <f>N8*P3</f>
        <v>211.21198999999999</v>
      </c>
      <c r="Q8" s="23">
        <f>N8</f>
        <v>7.843</v>
      </c>
      <c r="R8" s="8"/>
      <c r="S8" s="36">
        <f>-(Q8*O3)</f>
        <v>-138.35052000000002</v>
      </c>
      <c r="T8" s="36">
        <f>-(Q8*P3)</f>
        <v>-211.21198999999999</v>
      </c>
    </row>
    <row r="9" spans="1:20" x14ac:dyDescent="0.25">
      <c r="A9" s="5">
        <v>44835</v>
      </c>
      <c r="B9" s="8">
        <v>3111.3</v>
      </c>
      <c r="C9" s="8">
        <v>245.1</v>
      </c>
      <c r="D9" s="10">
        <v>14540629</v>
      </c>
      <c r="E9" s="8" t="s">
        <v>21</v>
      </c>
      <c r="F9" s="23">
        <v>531</v>
      </c>
      <c r="G9" s="23">
        <v>701.70399999999995</v>
      </c>
      <c r="H9" s="23"/>
      <c r="I9" s="16">
        <f t="shared" si="0"/>
        <v>-170.70399999999995</v>
      </c>
      <c r="J9" s="7"/>
      <c r="K9" s="7"/>
      <c r="L9" s="13"/>
      <c r="M9" s="13"/>
      <c r="N9" s="18">
        <v>7.843</v>
      </c>
      <c r="O9" s="9">
        <f>N9*O3</f>
        <v>138.35052000000002</v>
      </c>
      <c r="P9" s="9">
        <f>N9*P3</f>
        <v>211.21198999999999</v>
      </c>
      <c r="Q9" s="25">
        <f>N9</f>
        <v>7.843</v>
      </c>
      <c r="R9" s="14"/>
      <c r="S9" s="36">
        <f>-(Q9*O3)</f>
        <v>-138.35052000000002</v>
      </c>
      <c r="T9" s="36">
        <f>-(Q9*P3)</f>
        <v>-211.21198999999999</v>
      </c>
    </row>
    <row r="10" spans="1:20" x14ac:dyDescent="0.25">
      <c r="A10" s="5">
        <v>44866</v>
      </c>
      <c r="B10" s="8">
        <v>3111.3</v>
      </c>
      <c r="C10" s="8">
        <v>245.1</v>
      </c>
      <c r="D10" s="10">
        <v>14540629</v>
      </c>
      <c r="E10" s="8" t="s">
        <v>21</v>
      </c>
      <c r="F10" s="25">
        <v>505</v>
      </c>
      <c r="G10" s="25">
        <v>714.69500000000005</v>
      </c>
      <c r="H10" s="24"/>
      <c r="I10" s="16">
        <f t="shared" si="0"/>
        <v>-209.69500000000005</v>
      </c>
      <c r="J10" s="7"/>
      <c r="K10" s="7"/>
      <c r="L10" s="7"/>
      <c r="M10" s="7"/>
      <c r="N10" s="18"/>
      <c r="O10" s="9"/>
      <c r="P10" s="9"/>
      <c r="Q10" s="25"/>
      <c r="R10" s="7"/>
      <c r="S10" s="115" t="s">
        <v>50</v>
      </c>
      <c r="T10" s="116"/>
    </row>
    <row r="11" spans="1:20" x14ac:dyDescent="0.25">
      <c r="A11" s="5">
        <v>44896</v>
      </c>
      <c r="B11" s="6">
        <v>3111.3</v>
      </c>
      <c r="C11" s="6">
        <v>245.1</v>
      </c>
      <c r="D11" s="10">
        <v>14540629</v>
      </c>
      <c r="E11" s="6" t="s">
        <v>21</v>
      </c>
      <c r="F11" s="25">
        <v>546</v>
      </c>
      <c r="G11" s="25">
        <v>677.524</v>
      </c>
      <c r="H11" s="24"/>
      <c r="I11" s="17">
        <f t="shared" si="0"/>
        <v>-131.524</v>
      </c>
      <c r="J11" s="7"/>
      <c r="K11" s="7"/>
      <c r="L11" s="7"/>
      <c r="M11" s="7"/>
      <c r="N11" s="19"/>
      <c r="O11" s="11"/>
      <c r="P11" s="11"/>
      <c r="Q11" s="25"/>
      <c r="R11" s="7"/>
      <c r="S11" s="115"/>
      <c r="T11" s="116"/>
    </row>
    <row r="12" spans="1:20" x14ac:dyDescent="0.25">
      <c r="B12" s="1"/>
      <c r="C12" s="1"/>
      <c r="O12" s="39">
        <f>O9+O8</f>
        <v>276.70104000000003</v>
      </c>
      <c r="P12" s="49">
        <f>P9+P8</f>
        <v>422.42397999999997</v>
      </c>
      <c r="Q12" s="41"/>
      <c r="R12" s="41"/>
      <c r="S12" s="42">
        <f>SUM(S8:S11)</f>
        <v>-276.70104000000003</v>
      </c>
      <c r="T12" s="42">
        <f>SUM(T8:T11)</f>
        <v>-422.42397999999997</v>
      </c>
    </row>
    <row r="13" spans="1:20" x14ac:dyDescent="0.25">
      <c r="B13" s="1"/>
      <c r="C13" s="1"/>
      <c r="O13" s="41"/>
      <c r="P13" s="41"/>
      <c r="Q13" s="41"/>
      <c r="R13" s="41" t="s">
        <v>41</v>
      </c>
      <c r="T13" s="41"/>
    </row>
    <row r="14" spans="1:20" x14ac:dyDescent="0.25">
      <c r="B14" s="1"/>
      <c r="C14" s="1"/>
      <c r="O14" s="41"/>
      <c r="P14" s="41"/>
      <c r="Q14" s="41"/>
      <c r="R14" s="41"/>
      <c r="S14" s="41"/>
      <c r="T14" s="42">
        <f>T12+S12</f>
        <v>-699.12501999999995</v>
      </c>
    </row>
    <row r="15" spans="1:20" x14ac:dyDescent="0.25">
      <c r="B15" s="1"/>
      <c r="C15" s="1"/>
    </row>
    <row r="16" spans="1:20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  <row r="95" spans="15:15" x14ac:dyDescent="0.25">
      <c r="O95" s="26"/>
    </row>
  </sheetData>
  <sheetProtection selectLockedCells="1" selectUnlockedCells="1"/>
  <mergeCells count="24">
    <mergeCell ref="P5:P6"/>
    <mergeCell ref="S10:T10"/>
    <mergeCell ref="S11:T11"/>
    <mergeCell ref="H3:M3"/>
    <mergeCell ref="H4:M4"/>
    <mergeCell ref="S5:S6"/>
    <mergeCell ref="T5:T6"/>
    <mergeCell ref="L5:L6"/>
    <mergeCell ref="A1:Q1"/>
    <mergeCell ref="M5:M6"/>
    <mergeCell ref="N5:N6"/>
    <mergeCell ref="O5:O6"/>
    <mergeCell ref="A3:D3"/>
    <mergeCell ref="A5:A6"/>
    <mergeCell ref="B5:B6"/>
    <mergeCell ref="C5:C6"/>
    <mergeCell ref="D5:D6"/>
    <mergeCell ref="E5:E6"/>
    <mergeCell ref="F5:F6"/>
    <mergeCell ref="G5:G6"/>
    <mergeCell ref="H5:H6"/>
    <mergeCell ref="Q5:R5"/>
    <mergeCell ref="I5:I6"/>
    <mergeCell ref="J5:K5"/>
  </mergeCells>
  <pageMargins left="0.25" right="0.25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 Авиац.29</vt:lpstr>
      <vt:lpstr>Кал.ш. 14Б</vt:lpstr>
      <vt:lpstr>Кал.ш. 14В</vt:lpstr>
      <vt:lpstr>Кал.ш. 16</vt:lpstr>
      <vt:lpstr>Кал.ш. 16 Г</vt:lpstr>
      <vt:lpstr>Кал.ш. 18 Г</vt:lpstr>
      <vt:lpstr>Кал.ш. 18 В</vt:lpstr>
      <vt:lpstr>Кал.ш. 33 А</vt:lpstr>
      <vt:lpstr>Кал.ш. 33 Б</vt:lpstr>
      <vt:lpstr>Кал.ш. 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Екатерина</cp:lastModifiedBy>
  <cp:lastPrinted>2025-04-04T10:52:45Z</cp:lastPrinted>
  <dcterms:created xsi:type="dcterms:W3CDTF">2015-06-05T18:19:34Z</dcterms:created>
  <dcterms:modified xsi:type="dcterms:W3CDTF">2025-04-04T12:55:55Z</dcterms:modified>
</cp:coreProperties>
</file>